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унцоваАА\Desktop\"/>
    </mc:Choice>
  </mc:AlternateContent>
  <bookViews>
    <workbookView xWindow="0" yWindow="0" windowWidth="26070" windowHeight="11460"/>
  </bookViews>
  <sheets>
    <sheet name="форма 1" sheetId="2" r:id="rId1"/>
  </sheets>
  <definedNames>
    <definedName name="_xlnm.Print_Area" localSheetId="0">'форма 1'!$A$1:$P$127</definedName>
  </definedNames>
  <calcPr calcId="162913"/>
</workbook>
</file>

<file path=xl/calcChain.xml><?xml version="1.0" encoding="utf-8"?>
<calcChain xmlns="http://schemas.openxmlformats.org/spreadsheetml/2006/main">
  <c r="O121" i="2" l="1"/>
  <c r="O120" i="2"/>
  <c r="O119" i="2"/>
  <c r="O118" i="2"/>
  <c r="M121" i="2"/>
  <c r="M120" i="2"/>
  <c r="M119" i="2"/>
  <c r="M118" i="2"/>
  <c r="K121" i="2"/>
  <c r="K120" i="2"/>
  <c r="K119" i="2"/>
  <c r="K118" i="2"/>
  <c r="I121" i="2"/>
  <c r="I120" i="2"/>
  <c r="I119" i="2"/>
  <c r="I118" i="2"/>
  <c r="G121" i="2"/>
  <c r="G120" i="2"/>
  <c r="G119" i="2"/>
  <c r="G118" i="2"/>
  <c r="F121" i="2"/>
  <c r="F120" i="2"/>
  <c r="F119" i="2"/>
  <c r="F118" i="2"/>
  <c r="N121" i="2"/>
  <c r="L121" i="2"/>
  <c r="J121" i="2"/>
  <c r="H121" i="2"/>
  <c r="D121" i="2"/>
  <c r="O116" i="2" l="1"/>
  <c r="O114" i="2"/>
  <c r="O113" i="2"/>
  <c r="M116" i="2"/>
  <c r="M114" i="2"/>
  <c r="M113" i="2"/>
  <c r="K116" i="2"/>
  <c r="K115" i="2"/>
  <c r="K114" i="2"/>
  <c r="K113" i="2"/>
  <c r="I116" i="2"/>
  <c r="I115" i="2"/>
  <c r="I114" i="2"/>
  <c r="I113" i="2"/>
  <c r="G116" i="2"/>
  <c r="G115" i="2"/>
  <c r="G114" i="2"/>
  <c r="G113" i="2"/>
  <c r="F116" i="2"/>
  <c r="F114" i="2"/>
  <c r="F113" i="2"/>
  <c r="M111" i="2"/>
  <c r="M110" i="2"/>
  <c r="K111" i="2"/>
  <c r="K110" i="2"/>
  <c r="I111" i="2"/>
  <c r="I110" i="2"/>
  <c r="G111" i="2"/>
  <c r="G110" i="2"/>
  <c r="M108" i="2"/>
  <c r="M107" i="2"/>
  <c r="K108" i="2"/>
  <c r="K107" i="2"/>
  <c r="K106" i="2"/>
  <c r="I108" i="2"/>
  <c r="I107" i="2"/>
  <c r="G108" i="2"/>
  <c r="G107" i="2"/>
  <c r="G106" i="2"/>
  <c r="M104" i="2"/>
  <c r="M103" i="2"/>
  <c r="M102" i="2"/>
  <c r="K104" i="2"/>
  <c r="K103" i="2"/>
  <c r="K102" i="2"/>
  <c r="I104" i="2"/>
  <c r="I103" i="2"/>
  <c r="I102" i="2"/>
  <c r="G104" i="2"/>
  <c r="G103" i="2"/>
  <c r="G102" i="2"/>
  <c r="M100" i="2" l="1"/>
  <c r="M99" i="2"/>
  <c r="M98" i="2"/>
  <c r="K100" i="2"/>
  <c r="K99" i="2"/>
  <c r="K98" i="2"/>
  <c r="I100" i="2"/>
  <c r="G100" i="2"/>
  <c r="G99" i="2"/>
  <c r="I99" i="2"/>
  <c r="G98" i="2"/>
  <c r="K96" i="2"/>
  <c r="K95" i="2"/>
  <c r="K94" i="2"/>
  <c r="G96" i="2"/>
  <c r="G95" i="2"/>
  <c r="G94" i="2"/>
  <c r="K92" i="2"/>
  <c r="K91" i="2"/>
  <c r="K90" i="2"/>
  <c r="I92" i="2"/>
  <c r="I90" i="2"/>
  <c r="G92" i="2"/>
  <c r="G91" i="2"/>
  <c r="G90" i="2"/>
  <c r="K88" i="2" l="1"/>
  <c r="K87" i="2"/>
  <c r="K86" i="2"/>
  <c r="K85" i="2"/>
  <c r="I88" i="2"/>
  <c r="I87" i="2"/>
  <c r="I86" i="2"/>
  <c r="I85" i="2"/>
  <c r="G88" i="2"/>
  <c r="G86" i="2"/>
  <c r="G85" i="2"/>
  <c r="O83" i="2"/>
  <c r="O82" i="2"/>
  <c r="O81" i="2"/>
  <c r="O80" i="2"/>
  <c r="M83" i="2"/>
  <c r="M81" i="2"/>
  <c r="K83" i="2"/>
  <c r="K82" i="2"/>
  <c r="K81" i="2"/>
  <c r="K80" i="2"/>
  <c r="I83" i="2"/>
  <c r="I81" i="2"/>
  <c r="I80" i="2"/>
  <c r="G83" i="2"/>
  <c r="G82" i="2"/>
  <c r="G81" i="2"/>
  <c r="G80" i="2"/>
  <c r="F83" i="2"/>
  <c r="F82" i="2"/>
  <c r="F81" i="2"/>
  <c r="O78" i="2"/>
  <c r="O76" i="2"/>
  <c r="O75" i="2"/>
  <c r="M78" i="2"/>
  <c r="M77" i="2"/>
  <c r="M76" i="2"/>
  <c r="M75" i="2"/>
  <c r="K78" i="2"/>
  <c r="K77" i="2"/>
  <c r="K76" i="2"/>
  <c r="K75" i="2"/>
  <c r="G78" i="2"/>
  <c r="G77" i="2"/>
  <c r="G76" i="2"/>
  <c r="G75" i="2"/>
  <c r="F78" i="2"/>
  <c r="F76" i="2"/>
  <c r="F75" i="2"/>
  <c r="O73" i="2"/>
  <c r="O71" i="2"/>
  <c r="M73" i="2"/>
  <c r="M71" i="2"/>
  <c r="M70" i="2"/>
  <c r="K73" i="2"/>
  <c r="K72" i="2"/>
  <c r="K71" i="2"/>
  <c r="K70" i="2"/>
  <c r="I73" i="2"/>
  <c r="I71" i="2"/>
  <c r="I70" i="2"/>
  <c r="G73" i="2"/>
  <c r="G72" i="2"/>
  <c r="G71" i="2"/>
  <c r="G70" i="2"/>
  <c r="F73" i="2"/>
  <c r="F71" i="2"/>
  <c r="M68" i="2"/>
  <c r="M67" i="2"/>
  <c r="M66" i="2"/>
  <c r="K68" i="2"/>
  <c r="K67" i="2"/>
  <c r="K66" i="2"/>
  <c r="K65" i="2"/>
  <c r="I68" i="2"/>
  <c r="I67" i="2"/>
  <c r="G68" i="2"/>
  <c r="G67" i="2"/>
  <c r="G66" i="2"/>
  <c r="G65" i="2"/>
  <c r="O63" i="2"/>
  <c r="O62" i="2"/>
  <c r="O61" i="2"/>
  <c r="M63" i="2"/>
  <c r="M61" i="2"/>
  <c r="K63" i="2"/>
  <c r="K62" i="2"/>
  <c r="K61" i="2"/>
  <c r="K60" i="2"/>
  <c r="I63" i="2"/>
  <c r="I61" i="2"/>
  <c r="I60" i="2"/>
  <c r="G63" i="2"/>
  <c r="G62" i="2"/>
  <c r="G61" i="2"/>
  <c r="G60" i="2"/>
  <c r="F63" i="2"/>
  <c r="F62" i="2"/>
  <c r="F61" i="2"/>
  <c r="M58" i="2"/>
  <c r="M57" i="2"/>
  <c r="M56" i="2"/>
  <c r="M55" i="2"/>
  <c r="K58" i="2"/>
  <c r="K57" i="2"/>
  <c r="K56" i="2"/>
  <c r="K55" i="2"/>
  <c r="I58" i="2"/>
  <c r="I56" i="2"/>
  <c r="G58" i="2"/>
  <c r="G57" i="2"/>
  <c r="G56" i="2"/>
  <c r="O53" i="2"/>
  <c r="O51" i="2"/>
  <c r="O50" i="2"/>
  <c r="K53" i="2"/>
  <c r="K52" i="2"/>
  <c r="K51" i="2"/>
  <c r="K50" i="2"/>
  <c r="I53" i="2"/>
  <c r="I52" i="2"/>
  <c r="G53" i="2"/>
  <c r="G52" i="2"/>
  <c r="G51" i="2"/>
  <c r="G50" i="2"/>
  <c r="F53" i="2"/>
  <c r="F51" i="2"/>
  <c r="F50" i="2"/>
  <c r="M48" i="2"/>
  <c r="M46" i="2"/>
  <c r="M45" i="2"/>
  <c r="K48" i="2"/>
  <c r="K47" i="2"/>
  <c r="K46" i="2"/>
  <c r="K45" i="2"/>
  <c r="I48" i="2"/>
  <c r="I46" i="2"/>
  <c r="G47" i="2"/>
  <c r="G46" i="2"/>
  <c r="G45" i="2"/>
  <c r="M43" i="2"/>
  <c r="M42" i="2"/>
  <c r="M41" i="2"/>
  <c r="M40" i="2"/>
  <c r="K43" i="2"/>
  <c r="K42" i="2"/>
  <c r="K41" i="2"/>
  <c r="K40" i="2"/>
  <c r="I43" i="2"/>
  <c r="I41" i="2"/>
  <c r="I40" i="2"/>
  <c r="G43" i="2"/>
  <c r="G42" i="2"/>
  <c r="G41" i="2"/>
  <c r="G40" i="2"/>
  <c r="O38" i="2"/>
  <c r="M38" i="2"/>
  <c r="K38" i="2"/>
  <c r="I38" i="2"/>
  <c r="G38" i="2"/>
  <c r="F38" i="2"/>
  <c r="M37" i="2"/>
  <c r="K37" i="2"/>
  <c r="I37" i="2"/>
  <c r="G37" i="2"/>
  <c r="O36" i="2"/>
  <c r="M36" i="2"/>
  <c r="K36" i="2"/>
  <c r="I36" i="2"/>
  <c r="G36" i="2"/>
  <c r="F36" i="2"/>
  <c r="O34" i="2"/>
  <c r="M34" i="2"/>
  <c r="K34" i="2"/>
  <c r="I34" i="2"/>
  <c r="G34" i="2"/>
  <c r="F34" i="2"/>
  <c r="M33" i="2"/>
  <c r="K33" i="2"/>
  <c r="G33" i="2"/>
  <c r="O32" i="2"/>
  <c r="M32" i="2"/>
  <c r="K32" i="2"/>
  <c r="I32" i="2"/>
  <c r="G32" i="2"/>
  <c r="F32" i="2"/>
  <c r="M31" i="2"/>
  <c r="K31" i="2"/>
  <c r="I31" i="2"/>
  <c r="G31" i="2"/>
  <c r="O29" i="2"/>
  <c r="M29" i="2"/>
  <c r="K29" i="2"/>
  <c r="I29" i="2"/>
  <c r="G29" i="2"/>
  <c r="F29" i="2"/>
  <c r="M28" i="2"/>
  <c r="K28" i="2"/>
  <c r="I28" i="2"/>
  <c r="G28" i="2"/>
  <c r="M27" i="2"/>
  <c r="K27" i="2"/>
  <c r="I27" i="2"/>
  <c r="G27" i="2"/>
  <c r="O26" i="2"/>
  <c r="M26" i="2"/>
  <c r="K26" i="2"/>
  <c r="I26" i="2"/>
  <c r="G26" i="2"/>
  <c r="F26" i="2"/>
  <c r="M24" i="2"/>
  <c r="K24" i="2"/>
  <c r="I24" i="2"/>
  <c r="G24" i="2"/>
  <c r="M23" i="2"/>
  <c r="K23" i="2"/>
  <c r="I23" i="2"/>
  <c r="G23" i="2"/>
  <c r="K22" i="2"/>
  <c r="I22" i="2"/>
  <c r="G22" i="2"/>
  <c r="K21" i="2"/>
  <c r="I21" i="2"/>
  <c r="G21" i="2"/>
  <c r="O19" i="2"/>
  <c r="M19" i="2"/>
  <c r="K19" i="2"/>
  <c r="I19" i="2"/>
  <c r="G19" i="2"/>
  <c r="F19" i="2"/>
  <c r="O18" i="2"/>
  <c r="K18" i="2"/>
  <c r="I18" i="2"/>
  <c r="G18" i="2"/>
  <c r="F18" i="2"/>
  <c r="O17" i="2"/>
  <c r="M17" i="2"/>
  <c r="K17" i="2"/>
  <c r="I17" i="2"/>
  <c r="G17" i="2"/>
  <c r="F17" i="2"/>
  <c r="O16" i="2"/>
  <c r="M16" i="2"/>
  <c r="K16" i="2"/>
  <c r="I16" i="2"/>
  <c r="G16" i="2"/>
  <c r="F16" i="2"/>
  <c r="O14" i="2"/>
  <c r="M14" i="2"/>
  <c r="M13" i="2"/>
  <c r="M12" i="2"/>
  <c r="M11" i="2"/>
  <c r="K14" i="2"/>
  <c r="K13" i="2"/>
  <c r="K12" i="2"/>
  <c r="K11" i="2"/>
  <c r="G14" i="2"/>
  <c r="F14" i="2"/>
  <c r="G13" i="2"/>
  <c r="G12" i="2"/>
  <c r="G11" i="2"/>
  <c r="F13" i="2"/>
  <c r="O9" i="2"/>
  <c r="M9" i="2"/>
  <c r="K9" i="2"/>
  <c r="I9" i="2"/>
  <c r="G9" i="2"/>
  <c r="F9" i="2"/>
  <c r="M8" i="2"/>
  <c r="K8" i="2"/>
  <c r="G8" i="2"/>
  <c r="O7" i="2"/>
  <c r="M7" i="2"/>
  <c r="K7" i="2"/>
  <c r="I7" i="2"/>
  <c r="G7" i="2"/>
  <c r="F7" i="2"/>
  <c r="M6" i="2"/>
  <c r="K6" i="2"/>
  <c r="G6" i="2"/>
  <c r="L116" i="2" l="1"/>
  <c r="J116" i="2"/>
  <c r="D116" i="2"/>
  <c r="D108" i="2"/>
  <c r="D104" i="2"/>
  <c r="D100" i="2"/>
  <c r="D96" i="2"/>
  <c r="D92" i="2"/>
  <c r="N88" i="2"/>
  <c r="L88" i="2"/>
  <c r="J88" i="2"/>
  <c r="H88" i="2"/>
  <c r="D88" i="2"/>
  <c r="D83" i="2"/>
  <c r="D78" i="2"/>
  <c r="D73" i="2"/>
  <c r="N68" i="2"/>
  <c r="L68" i="2"/>
  <c r="J68" i="2"/>
  <c r="D68" i="2"/>
  <c r="H63" i="2"/>
  <c r="D63" i="2"/>
  <c r="D58" i="2"/>
  <c r="D53" i="2"/>
  <c r="D48" i="2"/>
  <c r="L43" i="2"/>
  <c r="J43" i="2"/>
  <c r="H43" i="2"/>
  <c r="D43" i="2"/>
  <c r="N38" i="2"/>
  <c r="L38" i="2"/>
  <c r="J38" i="2"/>
  <c r="H38" i="2"/>
  <c r="D38" i="2"/>
  <c r="N34" i="2"/>
  <c r="L34" i="2"/>
  <c r="J34" i="2"/>
  <c r="H34" i="2"/>
  <c r="D34" i="2"/>
  <c r="D29" i="2"/>
  <c r="N24" i="2"/>
  <c r="L24" i="2"/>
  <c r="J24" i="2"/>
  <c r="H24" i="2"/>
  <c r="D24" i="2"/>
  <c r="N19" i="2"/>
  <c r="L19" i="2"/>
  <c r="J19" i="2"/>
  <c r="H19" i="2"/>
  <c r="D19" i="2"/>
  <c r="J14" i="2"/>
  <c r="H14" i="2"/>
  <c r="D14" i="2"/>
  <c r="N9" i="2"/>
  <c r="L9" i="2"/>
  <c r="J9" i="2"/>
  <c r="H9" i="2"/>
  <c r="D9" i="2"/>
</calcChain>
</file>

<file path=xl/sharedStrings.xml><?xml version="1.0" encoding="utf-8"?>
<sst xmlns="http://schemas.openxmlformats.org/spreadsheetml/2006/main" count="258" uniqueCount="130">
  <si>
    <t>кол-во</t>
  </si>
  <si>
    <t xml:space="preserve">доля </t>
  </si>
  <si>
    <t>доля</t>
  </si>
  <si>
    <t>Образовательное учреждение</t>
  </si>
  <si>
    <t>ИТОГО:</t>
  </si>
  <si>
    <t>Уровень образования</t>
  </si>
  <si>
    <t>Общая успеваемость</t>
  </si>
  <si>
    <t>Качественная успеваемость</t>
  </si>
  <si>
    <t>1-4 класс</t>
  </si>
  <si>
    <t>5-9 класс</t>
  </si>
  <si>
    <t>СОШ Кедровый</t>
  </si>
  <si>
    <t>10-11 класс</t>
  </si>
  <si>
    <t>СОШ Сибирский</t>
  </si>
  <si>
    <t>СОШ Луговской</t>
  </si>
  <si>
    <t>СОШ Бобровский</t>
  </si>
  <si>
    <t>СОШ Красноленинский</t>
  </si>
  <si>
    <t>СОШ Шапша</t>
  </si>
  <si>
    <t>СОШ Горноправдинск</t>
  </si>
  <si>
    <t>СОШ Цингалы</t>
  </si>
  <si>
    <t>СОШ Елизарово</t>
  </si>
  <si>
    <t>СОШ Троица</t>
  </si>
  <si>
    <t>СОШ Нялинское</t>
  </si>
  <si>
    <t>СОШ Селиярово</t>
  </si>
  <si>
    <t>СОШ Кирпичный</t>
  </si>
  <si>
    <t>СОШ Батово</t>
  </si>
  <si>
    <t>СОШ Кышик</t>
  </si>
  <si>
    <t>СОШ Выкатной</t>
  </si>
  <si>
    <t>ООШ Реполово</t>
  </si>
  <si>
    <t>ООШ Пырьях</t>
  </si>
  <si>
    <t>ООШ Тюли</t>
  </si>
  <si>
    <t>ООШ Ягурьях</t>
  </si>
  <si>
    <t>ООШ Белогорье</t>
  </si>
  <si>
    <t>НОШ Горноправдинск</t>
  </si>
  <si>
    <t>Всего по району</t>
  </si>
  <si>
    <t>СОШ Согом</t>
  </si>
  <si>
    <t>7</t>
  </si>
  <si>
    <t>0</t>
  </si>
  <si>
    <t>9</t>
  </si>
  <si>
    <t>1</t>
  </si>
  <si>
    <t>8</t>
  </si>
  <si>
    <t>2</t>
  </si>
  <si>
    <t>5</t>
  </si>
  <si>
    <t>17/13</t>
  </si>
  <si>
    <t>11</t>
  </si>
  <si>
    <t>4</t>
  </si>
  <si>
    <t>21/20/16</t>
  </si>
  <si>
    <t>24/20/17</t>
  </si>
  <si>
    <t>6</t>
  </si>
  <si>
    <t>Кол-во уч-ся на начало  учебного года</t>
  </si>
  <si>
    <t>Кол-во уч-ся на конец учебного года</t>
  </si>
  <si>
    <t>Учащиеся, окончившие учебный год на "5"</t>
  </si>
  <si>
    <t>Учащиеся, окончившие учебный год  "4" и "5"</t>
  </si>
  <si>
    <t>Учащиеся, окончившие учебный год  с одной "3"</t>
  </si>
  <si>
    <t>Кол-во уч-ся окончивших уебный год на «2»**</t>
  </si>
  <si>
    <t>Итоги успеваемости за  2020-2021 учебный год</t>
  </si>
  <si>
    <t>44/35/29</t>
  </si>
  <si>
    <t>46/41</t>
  </si>
  <si>
    <t>97/88/77</t>
  </si>
  <si>
    <t>28/21/19</t>
  </si>
  <si>
    <t>46/42</t>
  </si>
  <si>
    <t>63/44/27</t>
  </si>
  <si>
    <t>77/69</t>
  </si>
  <si>
    <t>15/8/5</t>
  </si>
  <si>
    <t>20/15</t>
  </si>
  <si>
    <t>43/36/28</t>
  </si>
  <si>
    <t>168/149/124</t>
  </si>
  <si>
    <t>88/81/75</t>
  </si>
  <si>
    <t>32/24/22</t>
  </si>
  <si>
    <t>42/37</t>
  </si>
  <si>
    <t>84/76/69</t>
  </si>
  <si>
    <t>72/50/38</t>
  </si>
  <si>
    <t>85/72</t>
  </si>
  <si>
    <t>161/139/114</t>
  </si>
  <si>
    <t>293/272</t>
  </si>
  <si>
    <t>337/316</t>
  </si>
  <si>
    <t>29/21/12</t>
  </si>
  <si>
    <t>34/29</t>
  </si>
  <si>
    <t>73/65/51</t>
  </si>
  <si>
    <t>12/9/7</t>
  </si>
  <si>
    <t>21/17</t>
  </si>
  <si>
    <t>35/32/26</t>
  </si>
  <si>
    <t>14/11/11</t>
  </si>
  <si>
    <t>22/19</t>
  </si>
  <si>
    <t>42/39/36</t>
  </si>
  <si>
    <t>35/26/24</t>
  </si>
  <si>
    <t>44/41</t>
  </si>
  <si>
    <t>88/79/74</t>
  </si>
  <si>
    <t>44/31/22</t>
  </si>
  <si>
    <t>59/48</t>
  </si>
  <si>
    <t>10</t>
  </si>
  <si>
    <t>113/100/80</t>
  </si>
  <si>
    <t>13/9/4</t>
  </si>
  <si>
    <t>42/38/28</t>
  </si>
  <si>
    <t>21/19</t>
  </si>
  <si>
    <t>46/42/37</t>
  </si>
  <si>
    <t>56/44/33</t>
  </si>
  <si>
    <t>49/37</t>
  </si>
  <si>
    <t>111/99/76</t>
  </si>
  <si>
    <t>25/23/19</t>
  </si>
  <si>
    <t>20/16</t>
  </si>
  <si>
    <t>50/48/40</t>
  </si>
  <si>
    <t>3</t>
  </si>
  <si>
    <t>26/19/16</t>
  </si>
  <si>
    <t>36/35</t>
  </si>
  <si>
    <t>69/62/58</t>
  </si>
  <si>
    <t>22/20/18</t>
  </si>
  <si>
    <t>12/12</t>
  </si>
  <si>
    <t>34/32/30</t>
  </si>
  <si>
    <t>4/3/3</t>
  </si>
  <si>
    <t>15/12/12</t>
  </si>
  <si>
    <t>18/17</t>
  </si>
  <si>
    <t>33/30/29</t>
  </si>
  <si>
    <t>12/11/9</t>
  </si>
  <si>
    <t>26/23</t>
  </si>
  <si>
    <t>38/37/32</t>
  </si>
  <si>
    <t>10/7/5</t>
  </si>
  <si>
    <t>14/11</t>
  </si>
  <si>
    <t>24/21/16</t>
  </si>
  <si>
    <t>CСОШ д.Ярки</t>
  </si>
  <si>
    <t>251/189/171</t>
  </si>
  <si>
    <t>19</t>
  </si>
  <si>
    <t>62/48/40</t>
  </si>
  <si>
    <t>54/38</t>
  </si>
  <si>
    <t>119/105/81</t>
  </si>
  <si>
    <t>100%</t>
  </si>
  <si>
    <t>46,2%</t>
  </si>
  <si>
    <t>85,7%</t>
  </si>
  <si>
    <t>908/685/563</t>
  </si>
  <si>
    <t>1076/938</t>
  </si>
  <si>
    <t>2167/1944/1684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</si>
</sst>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left" indent="5"/>
    </xf>
    <xf numFmtId="0" fontId="4" fillId="0" borderId="1" xfId="0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0" borderId="1" xfId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2" fillId="0" borderId="1" xfId="1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9" fontId="13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164" fontId="13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13" fillId="0" borderId="1" xfId="1" applyNumberFormat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top" wrapText="1"/>
    </xf>
    <xf numFmtId="1" fontId="13" fillId="0" borderId="1" xfId="1" applyNumberFormat="1" applyFont="1" applyBorder="1" applyAlignment="1">
      <alignment horizontal="center" vertical="top" wrapText="1"/>
    </xf>
    <xf numFmtId="2" fontId="14" fillId="0" borderId="0" xfId="0" applyNumberFormat="1" applyFont="1"/>
    <xf numFmtId="9" fontId="4" fillId="0" borderId="1" xfId="1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9" fillId="0" borderId="1" xfId="1" applyNumberFormat="1" applyFont="1" applyBorder="1" applyAlignment="1">
      <alignment horizontal="center" vertical="top" wrapText="1"/>
    </xf>
    <xf numFmtId="1" fontId="12" fillId="0" borderId="1" xfId="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164" fontId="18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9" fontId="13" fillId="0" borderId="0" xfId="0" applyNumberFormat="1" applyFont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164" fontId="13" fillId="0" borderId="0" xfId="1" applyNumberFormat="1" applyFont="1" applyBorder="1" applyAlignment="1">
      <alignment horizontal="center" vertical="top" wrapText="1"/>
    </xf>
    <xf numFmtId="1" fontId="13" fillId="0" borderId="0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9" fontId="13" fillId="0" borderId="1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/>
    </xf>
    <xf numFmtId="0" fontId="14" fillId="0" borderId="5" xfId="0" applyFont="1" applyBorder="1"/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abSelected="1" view="pageBreakPreview" zoomScaleNormal="80" zoomScaleSheetLayoutView="100" workbookViewId="0">
      <pane ySplit="5" topLeftCell="A6" activePane="bottomLeft" state="frozen"/>
      <selection pane="bottomLeft" activeCell="O122" sqref="O122"/>
    </sheetView>
  </sheetViews>
  <sheetFormatPr defaultRowHeight="15" x14ac:dyDescent="0.25"/>
  <cols>
    <col min="1" max="1" width="5" customWidth="1"/>
    <col min="2" max="2" width="25.28515625" customWidth="1"/>
    <col min="3" max="3" width="14.28515625" bestFit="1" customWidth="1"/>
    <col min="4" max="4" width="8.28515625" customWidth="1"/>
    <col min="5" max="5" width="8.5703125" customWidth="1"/>
    <col min="6" max="6" width="9.7109375" customWidth="1"/>
    <col min="7" max="7" width="10" customWidth="1"/>
    <col min="9" max="9" width="9.5703125" customWidth="1"/>
    <col min="10" max="10" width="9" customWidth="1"/>
    <col min="11" max="13" width="8.85546875" customWidth="1"/>
    <col min="15" max="15" width="9" customWidth="1"/>
    <col min="16" max="16" width="5.7109375" customWidth="1"/>
  </cols>
  <sheetData>
    <row r="1" spans="1:15" ht="22.5" x14ac:dyDescent="0.3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.75" x14ac:dyDescent="0.25">
      <c r="B2" s="1"/>
    </row>
    <row r="3" spans="1:15" ht="51.75" customHeight="1" x14ac:dyDescent="0.25">
      <c r="B3" s="70" t="s">
        <v>3</v>
      </c>
      <c r="C3" s="77" t="s">
        <v>5</v>
      </c>
      <c r="D3" s="70" t="s">
        <v>48</v>
      </c>
      <c r="E3" s="77" t="s">
        <v>49</v>
      </c>
      <c r="F3" s="70" t="s">
        <v>6</v>
      </c>
      <c r="G3" s="70" t="s">
        <v>7</v>
      </c>
      <c r="H3" s="70" t="s">
        <v>50</v>
      </c>
      <c r="I3" s="70"/>
      <c r="J3" s="70" t="s">
        <v>51</v>
      </c>
      <c r="K3" s="70"/>
      <c r="L3" s="70" t="s">
        <v>52</v>
      </c>
      <c r="M3" s="70"/>
      <c r="N3" s="70" t="s">
        <v>53</v>
      </c>
      <c r="O3" s="70"/>
    </row>
    <row r="4" spans="1:15" ht="10.5" hidden="1" customHeight="1" x14ac:dyDescent="0.25">
      <c r="B4" s="70"/>
      <c r="C4" s="80"/>
      <c r="D4" s="70"/>
      <c r="E4" s="78"/>
      <c r="F4" s="70"/>
      <c r="G4" s="70"/>
      <c r="H4" s="77" t="s">
        <v>0</v>
      </c>
      <c r="I4" s="77" t="s">
        <v>1</v>
      </c>
      <c r="J4" s="82" t="s">
        <v>0</v>
      </c>
      <c r="K4" s="82" t="s">
        <v>2</v>
      </c>
      <c r="L4" s="28"/>
      <c r="M4" s="28"/>
      <c r="N4" s="82" t="s">
        <v>0</v>
      </c>
      <c r="O4" s="82" t="s">
        <v>1</v>
      </c>
    </row>
    <row r="5" spans="1:15" ht="24" customHeight="1" x14ac:dyDescent="0.25">
      <c r="B5" s="70"/>
      <c r="C5" s="81"/>
      <c r="D5" s="70"/>
      <c r="E5" s="79"/>
      <c r="F5" s="70"/>
      <c r="G5" s="70"/>
      <c r="H5" s="81"/>
      <c r="I5" s="81"/>
      <c r="J5" s="83"/>
      <c r="K5" s="83"/>
      <c r="L5" s="28" t="s">
        <v>0</v>
      </c>
      <c r="M5" s="28" t="s">
        <v>2</v>
      </c>
      <c r="N5" s="83"/>
      <c r="O5" s="83"/>
    </row>
    <row r="6" spans="1:15" ht="15.75" x14ac:dyDescent="0.25">
      <c r="A6">
        <v>1</v>
      </c>
      <c r="B6" s="63" t="s">
        <v>10</v>
      </c>
      <c r="C6" s="2" t="s">
        <v>8</v>
      </c>
      <c r="D6" s="2">
        <v>44</v>
      </c>
      <c r="E6" s="11" t="s">
        <v>55</v>
      </c>
      <c r="F6" s="3">
        <v>1</v>
      </c>
      <c r="G6" s="6">
        <f>21/29</f>
        <v>0.72413793103448276</v>
      </c>
      <c r="H6" s="2">
        <v>0</v>
      </c>
      <c r="I6" s="34">
        <v>0</v>
      </c>
      <c r="J6" s="2">
        <v>21</v>
      </c>
      <c r="K6" s="6">
        <f>21/29</f>
        <v>0.72413793103448276</v>
      </c>
      <c r="L6" s="29">
        <v>13</v>
      </c>
      <c r="M6" s="45">
        <f>13/35</f>
        <v>0.37142857142857144</v>
      </c>
      <c r="N6" s="2">
        <v>0</v>
      </c>
      <c r="O6" s="34">
        <v>0</v>
      </c>
    </row>
    <row r="7" spans="1:15" ht="15.75" x14ac:dyDescent="0.25">
      <c r="B7" s="64"/>
      <c r="C7" s="2" t="s">
        <v>9</v>
      </c>
      <c r="D7" s="2">
        <v>46</v>
      </c>
      <c r="E7" s="2" t="s">
        <v>56</v>
      </c>
      <c r="F7" s="3">
        <f>45/46</f>
        <v>0.97826086956521741</v>
      </c>
      <c r="G7" s="3">
        <f>25/41</f>
        <v>0.6097560975609756</v>
      </c>
      <c r="H7" s="2">
        <v>7</v>
      </c>
      <c r="I7" s="34">
        <f>7/41</f>
        <v>0.17073170731707318</v>
      </c>
      <c r="J7" s="2">
        <v>18</v>
      </c>
      <c r="K7" s="7">
        <f>18/41</f>
        <v>0.43902439024390244</v>
      </c>
      <c r="L7" s="29">
        <v>20</v>
      </c>
      <c r="M7" s="7">
        <f>20/46</f>
        <v>0.43478260869565216</v>
      </c>
      <c r="N7" s="2">
        <v>1</v>
      </c>
      <c r="O7" s="7">
        <f>1/46</f>
        <v>2.1739130434782608E-2</v>
      </c>
    </row>
    <row r="8" spans="1:15" ht="15.75" x14ac:dyDescent="0.25">
      <c r="B8" s="64"/>
      <c r="C8" s="2" t="s">
        <v>11</v>
      </c>
      <c r="D8" s="2">
        <v>7</v>
      </c>
      <c r="E8" s="2">
        <v>7</v>
      </c>
      <c r="F8" s="3">
        <v>1</v>
      </c>
      <c r="G8" s="6">
        <f>6/7</f>
        <v>0.8571428571428571</v>
      </c>
      <c r="H8" s="2">
        <v>0</v>
      </c>
      <c r="I8" s="7">
        <v>0</v>
      </c>
      <c r="J8" s="2">
        <v>6</v>
      </c>
      <c r="K8" s="7">
        <f>6/7</f>
        <v>0.8571428571428571</v>
      </c>
      <c r="L8" s="29">
        <v>1</v>
      </c>
      <c r="M8" s="7">
        <f>1/7</f>
        <v>0.14285714285714285</v>
      </c>
      <c r="N8" s="2">
        <v>0</v>
      </c>
      <c r="O8" s="34">
        <v>0</v>
      </c>
    </row>
    <row r="9" spans="1:15" ht="16.5" customHeight="1" x14ac:dyDescent="0.25">
      <c r="B9" s="26" t="s">
        <v>4</v>
      </c>
      <c r="C9" s="9"/>
      <c r="D9" s="21">
        <f>SUM(D6:D8)</f>
        <v>97</v>
      </c>
      <c r="E9" s="48" t="s">
        <v>57</v>
      </c>
      <c r="F9" s="23">
        <f>87/88</f>
        <v>0.98863636363636365</v>
      </c>
      <c r="G9" s="23">
        <f>52/77</f>
        <v>0.67532467532467533</v>
      </c>
      <c r="H9" s="24">
        <f>SUM(H6:H8)</f>
        <v>7</v>
      </c>
      <c r="I9" s="23">
        <f>7/77</f>
        <v>9.0909090909090912E-2</v>
      </c>
      <c r="J9" s="21">
        <f>SUM(J6:J8)</f>
        <v>45</v>
      </c>
      <c r="K9" s="25">
        <f>45/77</f>
        <v>0.58441558441558439</v>
      </c>
      <c r="L9" s="30">
        <f>SUM(L6:L8)</f>
        <v>34</v>
      </c>
      <c r="M9" s="25">
        <f>34/88</f>
        <v>0.38636363636363635</v>
      </c>
      <c r="N9" s="24">
        <f>SUM(N6:N8)</f>
        <v>1</v>
      </c>
      <c r="O9" s="23">
        <f>1/88</f>
        <v>1.1363636363636364E-2</v>
      </c>
    </row>
    <row r="10" spans="1:15" ht="15.75" x14ac:dyDescent="0.2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5.75" customHeight="1" x14ac:dyDescent="0.25">
      <c r="A11">
        <v>2</v>
      </c>
      <c r="B11" s="63" t="s">
        <v>12</v>
      </c>
      <c r="C11" s="2" t="s">
        <v>8</v>
      </c>
      <c r="D11" s="2">
        <v>27</v>
      </c>
      <c r="E11" s="11" t="s">
        <v>58</v>
      </c>
      <c r="F11" s="3">
        <v>1</v>
      </c>
      <c r="G11" s="6">
        <f>12/19</f>
        <v>0.63157894736842102</v>
      </c>
      <c r="H11" s="2">
        <v>0</v>
      </c>
      <c r="I11" s="34">
        <v>0</v>
      </c>
      <c r="J11" s="2">
        <v>12</v>
      </c>
      <c r="K11" s="7">
        <f>12/19</f>
        <v>0.63157894736842102</v>
      </c>
      <c r="L11" s="49" t="s">
        <v>44</v>
      </c>
      <c r="M11" s="7">
        <f>4/21</f>
        <v>0.19047619047619047</v>
      </c>
      <c r="N11" s="2">
        <v>0</v>
      </c>
      <c r="O11" s="34">
        <v>0</v>
      </c>
    </row>
    <row r="12" spans="1:15" ht="15.75" x14ac:dyDescent="0.25">
      <c r="B12" s="64"/>
      <c r="C12" s="2" t="s">
        <v>9</v>
      </c>
      <c r="D12" s="2">
        <v>44</v>
      </c>
      <c r="E12" s="2" t="s">
        <v>59</v>
      </c>
      <c r="F12" s="3">
        <v>1</v>
      </c>
      <c r="G12" s="6">
        <f>16/42</f>
        <v>0.38095238095238093</v>
      </c>
      <c r="H12" s="2">
        <v>0</v>
      </c>
      <c r="I12" s="34">
        <v>0</v>
      </c>
      <c r="J12" s="2">
        <v>16</v>
      </c>
      <c r="K12" s="7">
        <f>16/42</f>
        <v>0.38095238095238093</v>
      </c>
      <c r="L12" s="49" t="s">
        <v>41</v>
      </c>
      <c r="M12" s="7">
        <f>5/46</f>
        <v>0.10869565217391304</v>
      </c>
      <c r="N12" s="2">
        <v>0</v>
      </c>
      <c r="O12" s="34">
        <v>0</v>
      </c>
    </row>
    <row r="13" spans="1:15" ht="15.75" x14ac:dyDescent="0.25">
      <c r="B13" s="64"/>
      <c r="C13" s="2" t="s">
        <v>11</v>
      </c>
      <c r="D13" s="2">
        <v>14</v>
      </c>
      <c r="E13" s="2">
        <v>14</v>
      </c>
      <c r="F13" s="3">
        <f>13/14</f>
        <v>0.9285714285714286</v>
      </c>
      <c r="G13" s="6">
        <f>7/14</f>
        <v>0.5</v>
      </c>
      <c r="H13" s="2">
        <v>0</v>
      </c>
      <c r="I13" s="34">
        <v>0</v>
      </c>
      <c r="J13" s="2">
        <v>7</v>
      </c>
      <c r="K13" s="34">
        <f>7/14</f>
        <v>0.5</v>
      </c>
      <c r="L13" s="49" t="s">
        <v>40</v>
      </c>
      <c r="M13" s="34">
        <f>2/14</f>
        <v>0.14285714285714285</v>
      </c>
      <c r="N13" s="2">
        <v>1</v>
      </c>
      <c r="O13" s="4">
        <v>0</v>
      </c>
    </row>
    <row r="14" spans="1:15" ht="15.75" x14ac:dyDescent="0.25">
      <c r="B14" s="26" t="s">
        <v>4</v>
      </c>
      <c r="C14" s="9"/>
      <c r="D14" s="21">
        <f>SUM(D11:D13)</f>
        <v>85</v>
      </c>
      <c r="E14" s="9" t="s">
        <v>66</v>
      </c>
      <c r="F14" s="23">
        <f>80/81</f>
        <v>0.98765432098765427</v>
      </c>
      <c r="G14" s="23">
        <f>35/75</f>
        <v>0.46666666666666667</v>
      </c>
      <c r="H14" s="24">
        <f>SUM(H11:H13)</f>
        <v>0</v>
      </c>
      <c r="I14" s="22">
        <v>0</v>
      </c>
      <c r="J14" s="21">
        <f>SUM(J11:J13)</f>
        <v>35</v>
      </c>
      <c r="K14" s="25">
        <f>35/75</f>
        <v>0.46666666666666667</v>
      </c>
      <c r="L14" s="50" t="s">
        <v>43</v>
      </c>
      <c r="M14" s="25">
        <f>11/81</f>
        <v>0.13580246913580246</v>
      </c>
      <c r="N14" s="24" t="s">
        <v>38</v>
      </c>
      <c r="O14" s="23">
        <f>1/81</f>
        <v>1.2345679012345678E-2</v>
      </c>
    </row>
    <row r="15" spans="1:15" x14ac:dyDescent="0.25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15.75" x14ac:dyDescent="0.25">
      <c r="A16">
        <v>3</v>
      </c>
      <c r="B16" s="63" t="s">
        <v>13</v>
      </c>
      <c r="C16" s="2" t="s">
        <v>8</v>
      </c>
      <c r="D16" s="2">
        <v>66</v>
      </c>
      <c r="E16" s="11" t="s">
        <v>60</v>
      </c>
      <c r="F16" s="6">
        <f>41/44</f>
        <v>0.93181818181818177</v>
      </c>
      <c r="G16" s="51">
        <f>20/27</f>
        <v>0.7407407407407407</v>
      </c>
      <c r="H16" s="2">
        <v>4</v>
      </c>
      <c r="I16" s="7">
        <f>4/27</f>
        <v>0.14814814814814814</v>
      </c>
      <c r="J16" s="2">
        <v>16</v>
      </c>
      <c r="K16" s="7">
        <f>16/27</f>
        <v>0.59259259259259256</v>
      </c>
      <c r="L16" s="31">
        <v>4</v>
      </c>
      <c r="M16" s="7">
        <f>4/44</f>
        <v>9.0909090909090912E-2</v>
      </c>
      <c r="N16" s="2">
        <v>3</v>
      </c>
      <c r="O16" s="7">
        <f>3/44</f>
        <v>6.8181818181818177E-2</v>
      </c>
    </row>
    <row r="17" spans="1:15" ht="15.75" x14ac:dyDescent="0.25">
      <c r="B17" s="64"/>
      <c r="C17" s="2" t="s">
        <v>9</v>
      </c>
      <c r="D17" s="2">
        <v>75</v>
      </c>
      <c r="E17" s="2" t="s">
        <v>61</v>
      </c>
      <c r="F17" s="6">
        <f>74/77</f>
        <v>0.96103896103896103</v>
      </c>
      <c r="G17" s="6">
        <f>31/69</f>
        <v>0.44927536231884058</v>
      </c>
      <c r="H17" s="2">
        <v>5</v>
      </c>
      <c r="I17" s="7">
        <f>5/69</f>
        <v>7.2463768115942032E-2</v>
      </c>
      <c r="J17" s="2">
        <v>26</v>
      </c>
      <c r="K17" s="7">
        <f>26/69</f>
        <v>0.37681159420289856</v>
      </c>
      <c r="L17" s="31">
        <v>5</v>
      </c>
      <c r="M17" s="7">
        <f>5/77</f>
        <v>6.4935064935064929E-2</v>
      </c>
      <c r="N17" s="2">
        <v>3</v>
      </c>
      <c r="O17" s="7">
        <f>3/77</f>
        <v>3.896103896103896E-2</v>
      </c>
    </row>
    <row r="18" spans="1:15" ht="15.75" x14ac:dyDescent="0.25">
      <c r="B18" s="64"/>
      <c r="C18" s="2" t="s">
        <v>11</v>
      </c>
      <c r="D18" s="2">
        <v>26</v>
      </c>
      <c r="E18" s="2">
        <v>28</v>
      </c>
      <c r="F18" s="6">
        <f>27/28</f>
        <v>0.9642857142857143</v>
      </c>
      <c r="G18" s="6">
        <f>16/28</f>
        <v>0.5714285714285714</v>
      </c>
      <c r="H18" s="2">
        <v>8</v>
      </c>
      <c r="I18" s="7">
        <f>8/28</f>
        <v>0.2857142857142857</v>
      </c>
      <c r="J18" s="2">
        <v>8</v>
      </c>
      <c r="K18" s="7">
        <f>8/28</f>
        <v>0.2857142857142857</v>
      </c>
      <c r="L18" s="31">
        <v>0</v>
      </c>
      <c r="M18" s="34">
        <v>0</v>
      </c>
      <c r="N18" s="2">
        <v>1</v>
      </c>
      <c r="O18" s="7">
        <f>1/28</f>
        <v>3.5714285714285712E-2</v>
      </c>
    </row>
    <row r="19" spans="1:15" ht="15.75" x14ac:dyDescent="0.25">
      <c r="B19" s="26" t="s">
        <v>4</v>
      </c>
      <c r="C19" s="9"/>
      <c r="D19" s="21">
        <f>SUM(D16:D18)</f>
        <v>167</v>
      </c>
      <c r="E19" s="14" t="s">
        <v>65</v>
      </c>
      <c r="F19" s="23">
        <f>142/149</f>
        <v>0.95302013422818788</v>
      </c>
      <c r="G19" s="22">
        <f>67/124</f>
        <v>0.54032258064516125</v>
      </c>
      <c r="H19" s="24">
        <f>SUM(H16:H18)</f>
        <v>17</v>
      </c>
      <c r="I19" s="23">
        <f>17/124</f>
        <v>0.13709677419354838</v>
      </c>
      <c r="J19" s="21">
        <f>SUM(J16:J18)</f>
        <v>50</v>
      </c>
      <c r="K19" s="25">
        <f>50/124</f>
        <v>0.40322580645161288</v>
      </c>
      <c r="L19" s="32">
        <f>SUM(L16:L18)</f>
        <v>9</v>
      </c>
      <c r="M19" s="62">
        <f>9/149</f>
        <v>6.0402684563758392E-2</v>
      </c>
      <c r="N19" s="24">
        <f>SUM(N16:N18)</f>
        <v>7</v>
      </c>
      <c r="O19" s="23">
        <f>7/149</f>
        <v>4.6979865771812082E-2</v>
      </c>
    </row>
    <row r="20" spans="1:15" x14ac:dyDescent="0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5.75" x14ac:dyDescent="0.25">
      <c r="A21">
        <v>4</v>
      </c>
      <c r="B21" s="63" t="s">
        <v>14</v>
      </c>
      <c r="C21" s="2" t="s">
        <v>8</v>
      </c>
      <c r="D21" s="2">
        <v>15</v>
      </c>
      <c r="E21" s="5" t="s">
        <v>62</v>
      </c>
      <c r="F21" s="3">
        <v>1</v>
      </c>
      <c r="G21" s="3">
        <f>5/5</f>
        <v>1</v>
      </c>
      <c r="H21" s="2">
        <v>2</v>
      </c>
      <c r="I21" s="34">
        <f>2/5</f>
        <v>0.4</v>
      </c>
      <c r="J21" s="2">
        <v>3</v>
      </c>
      <c r="K21" s="34">
        <f>3/5</f>
        <v>0.6</v>
      </c>
      <c r="L21" s="31">
        <v>0</v>
      </c>
      <c r="M21" s="34">
        <v>0</v>
      </c>
      <c r="N21" s="2">
        <v>0</v>
      </c>
      <c r="O21" s="4">
        <v>0</v>
      </c>
    </row>
    <row r="22" spans="1:15" ht="15.75" x14ac:dyDescent="0.25">
      <c r="B22" s="64"/>
      <c r="C22" s="2" t="s">
        <v>9</v>
      </c>
      <c r="D22" s="2">
        <v>20</v>
      </c>
      <c r="E22" s="2" t="s">
        <v>63</v>
      </c>
      <c r="F22" s="3">
        <v>1</v>
      </c>
      <c r="G22" s="6">
        <f>11/15</f>
        <v>0.73333333333333328</v>
      </c>
      <c r="H22" s="2">
        <v>4</v>
      </c>
      <c r="I22" s="7">
        <f>4/15</f>
        <v>0.26666666666666666</v>
      </c>
      <c r="J22" s="2">
        <v>7</v>
      </c>
      <c r="K22" s="7">
        <f>7/15</f>
        <v>0.46666666666666667</v>
      </c>
      <c r="L22" s="31">
        <v>0</v>
      </c>
      <c r="M22" s="34">
        <v>0</v>
      </c>
      <c r="N22" s="2">
        <v>0</v>
      </c>
      <c r="O22" s="34">
        <v>0</v>
      </c>
    </row>
    <row r="23" spans="1:15" ht="15.75" x14ac:dyDescent="0.25">
      <c r="B23" s="64"/>
      <c r="C23" s="2" t="s">
        <v>11</v>
      </c>
      <c r="D23" s="2">
        <v>8</v>
      </c>
      <c r="E23" s="5" t="s">
        <v>39</v>
      </c>
      <c r="F23" s="3">
        <v>1</v>
      </c>
      <c r="G23" s="6">
        <f>5/8</f>
        <v>0.625</v>
      </c>
      <c r="H23" s="2">
        <v>2</v>
      </c>
      <c r="I23" s="34">
        <f>2/8</f>
        <v>0.25</v>
      </c>
      <c r="J23" s="2">
        <v>3</v>
      </c>
      <c r="K23" s="7">
        <f>3/8</f>
        <v>0.375</v>
      </c>
      <c r="L23" s="31">
        <v>2</v>
      </c>
      <c r="M23" s="34">
        <f>2/8</f>
        <v>0.25</v>
      </c>
      <c r="N23" s="2">
        <v>0</v>
      </c>
      <c r="O23" s="4">
        <v>0</v>
      </c>
    </row>
    <row r="24" spans="1:15" ht="15.75" x14ac:dyDescent="0.25">
      <c r="B24" s="26" t="s">
        <v>4</v>
      </c>
      <c r="C24" s="9"/>
      <c r="D24" s="19">
        <f>SUM(D21:D23)</f>
        <v>43</v>
      </c>
      <c r="E24" s="9" t="s">
        <v>64</v>
      </c>
      <c r="F24" s="24" t="s">
        <v>124</v>
      </c>
      <c r="G24" s="22">
        <f>21/28</f>
        <v>0.75</v>
      </c>
      <c r="H24" s="24">
        <f>SUM(H21:H23)</f>
        <v>8</v>
      </c>
      <c r="I24" s="23">
        <f>8/28</f>
        <v>0.2857142857142857</v>
      </c>
      <c r="J24" s="21">
        <f>SUM(J21:J23)</f>
        <v>13</v>
      </c>
      <c r="K24" s="25">
        <f>13/28</f>
        <v>0.4642857142857143</v>
      </c>
      <c r="L24" s="32">
        <f>SUM(L21:L23)</f>
        <v>2</v>
      </c>
      <c r="M24" s="25">
        <f>2/36</f>
        <v>5.5555555555555552E-2</v>
      </c>
      <c r="N24" s="24">
        <f>SUM(N21:N23)</f>
        <v>0</v>
      </c>
      <c r="O24" s="22">
        <v>0</v>
      </c>
    </row>
    <row r="25" spans="1:15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3"/>
      <c r="M25" s="27"/>
      <c r="N25" s="27"/>
      <c r="O25" s="27"/>
    </row>
    <row r="26" spans="1:15" ht="15.75" x14ac:dyDescent="0.25">
      <c r="A26">
        <v>5</v>
      </c>
      <c r="B26" s="63" t="s">
        <v>15</v>
      </c>
      <c r="C26" s="2" t="s">
        <v>8</v>
      </c>
      <c r="D26" s="2">
        <v>32</v>
      </c>
      <c r="E26" s="11" t="s">
        <v>67</v>
      </c>
      <c r="F26" s="6">
        <f>23/24</f>
        <v>0.95833333333333337</v>
      </c>
      <c r="G26" s="3">
        <f>11/22</f>
        <v>0.5</v>
      </c>
      <c r="H26" s="2">
        <v>4</v>
      </c>
      <c r="I26" s="7">
        <f>4/22</f>
        <v>0.18181818181818182</v>
      </c>
      <c r="J26" s="2">
        <v>7</v>
      </c>
      <c r="K26" s="7">
        <f>7/22</f>
        <v>0.31818181818181818</v>
      </c>
      <c r="L26" s="31">
        <v>3</v>
      </c>
      <c r="M26" s="7">
        <f>3/24</f>
        <v>0.125</v>
      </c>
      <c r="N26" s="2">
        <v>1</v>
      </c>
      <c r="O26" s="7">
        <f>1/24</f>
        <v>4.1666666666666664E-2</v>
      </c>
    </row>
    <row r="27" spans="1:15" ht="15.75" x14ac:dyDescent="0.25">
      <c r="B27" s="64"/>
      <c r="C27" s="2" t="s">
        <v>9</v>
      </c>
      <c r="D27" s="2">
        <v>42</v>
      </c>
      <c r="E27" s="2" t="s">
        <v>68</v>
      </c>
      <c r="F27" s="3">
        <v>1</v>
      </c>
      <c r="G27" s="6">
        <f>19/37</f>
        <v>0.51351351351351349</v>
      </c>
      <c r="H27" s="2">
        <v>2</v>
      </c>
      <c r="I27" s="7">
        <f>2/37</f>
        <v>5.4054054054054057E-2</v>
      </c>
      <c r="J27" s="2">
        <v>17</v>
      </c>
      <c r="K27" s="7">
        <f>17/37</f>
        <v>0.45945945945945948</v>
      </c>
      <c r="L27" s="31">
        <v>4</v>
      </c>
      <c r="M27" s="7">
        <f>4/42</f>
        <v>9.5238095238095233E-2</v>
      </c>
      <c r="N27" s="2">
        <v>0</v>
      </c>
      <c r="O27" s="34">
        <v>0</v>
      </c>
    </row>
    <row r="28" spans="1:15" ht="15.75" x14ac:dyDescent="0.25">
      <c r="B28" s="69"/>
      <c r="C28" s="2" t="s">
        <v>11</v>
      </c>
      <c r="D28" s="2">
        <v>10</v>
      </c>
      <c r="E28" s="2">
        <v>10</v>
      </c>
      <c r="F28" s="6">
        <v>1</v>
      </c>
      <c r="G28" s="3">
        <f>6/10</f>
        <v>0.6</v>
      </c>
      <c r="H28" s="2">
        <v>1</v>
      </c>
      <c r="I28" s="34">
        <f>1/10</f>
        <v>0.1</v>
      </c>
      <c r="J28" s="2">
        <v>5</v>
      </c>
      <c r="K28" s="34">
        <f>5/10</f>
        <v>0.5</v>
      </c>
      <c r="L28" s="31">
        <v>1</v>
      </c>
      <c r="M28" s="34">
        <f>1/10</f>
        <v>0.1</v>
      </c>
      <c r="N28" s="2">
        <v>0</v>
      </c>
      <c r="O28" s="34">
        <v>0</v>
      </c>
    </row>
    <row r="29" spans="1:15" ht="15.75" x14ac:dyDescent="0.25">
      <c r="B29" s="35" t="s">
        <v>4</v>
      </c>
      <c r="C29" s="2"/>
      <c r="D29" s="2">
        <f>SUM(D26:D28)</f>
        <v>84</v>
      </c>
      <c r="E29" s="43" t="s">
        <v>69</v>
      </c>
      <c r="F29" s="6">
        <f>75/76</f>
        <v>0.98684210526315785</v>
      </c>
      <c r="G29" s="6">
        <f>36/69</f>
        <v>0.52173913043478259</v>
      </c>
      <c r="H29" s="2">
        <v>7</v>
      </c>
      <c r="I29" s="7">
        <f>7/69</f>
        <v>0.10144927536231885</v>
      </c>
      <c r="J29" s="2">
        <v>29</v>
      </c>
      <c r="K29" s="34">
        <f>29/69</f>
        <v>0.42028985507246375</v>
      </c>
      <c r="L29" s="31">
        <v>8</v>
      </c>
      <c r="M29" s="7">
        <f>8/76</f>
        <v>0.10526315789473684</v>
      </c>
      <c r="N29" s="2">
        <v>1</v>
      </c>
      <c r="O29" s="7">
        <f>1/76</f>
        <v>1.3157894736842105E-2</v>
      </c>
    </row>
    <row r="30" spans="1:15" ht="15.75" customHeight="1" x14ac:dyDescent="0.25">
      <c r="A30">
        <v>6</v>
      </c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</row>
    <row r="31" spans="1:15" ht="15.75" x14ac:dyDescent="0.25">
      <c r="B31" s="63" t="s">
        <v>16</v>
      </c>
      <c r="C31" s="2" t="s">
        <v>8</v>
      </c>
      <c r="D31" s="2">
        <v>72</v>
      </c>
      <c r="E31" s="43" t="s">
        <v>70</v>
      </c>
      <c r="F31" s="3">
        <v>1</v>
      </c>
      <c r="G31" s="6">
        <f>29/38</f>
        <v>0.76315789473684215</v>
      </c>
      <c r="H31" s="2">
        <v>2</v>
      </c>
      <c r="I31" s="7">
        <f>2/38</f>
        <v>5.2631578947368418E-2</v>
      </c>
      <c r="J31" s="2">
        <v>27</v>
      </c>
      <c r="K31" s="7">
        <f>27/38</f>
        <v>0.71052631578947367</v>
      </c>
      <c r="L31" s="31">
        <v>3</v>
      </c>
      <c r="M31" s="34">
        <f>3/50</f>
        <v>0.06</v>
      </c>
      <c r="N31" s="2">
        <v>0</v>
      </c>
      <c r="O31" s="7">
        <v>0</v>
      </c>
    </row>
    <row r="32" spans="1:15" ht="15.75" x14ac:dyDescent="0.25">
      <c r="B32" s="64"/>
      <c r="C32" s="2" t="s">
        <v>9</v>
      </c>
      <c r="D32" s="2">
        <v>77</v>
      </c>
      <c r="E32" s="2" t="s">
        <v>71</v>
      </c>
      <c r="F32" s="6">
        <f>83/85</f>
        <v>0.97647058823529409</v>
      </c>
      <c r="G32" s="6">
        <f>32/72</f>
        <v>0.44444444444444442</v>
      </c>
      <c r="H32" s="2">
        <v>1</v>
      </c>
      <c r="I32" s="7">
        <f>1/72</f>
        <v>1.3888888888888888E-2</v>
      </c>
      <c r="J32" s="2">
        <v>31</v>
      </c>
      <c r="K32" s="7">
        <f>31/72</f>
        <v>0.43055555555555558</v>
      </c>
      <c r="L32" s="31">
        <v>2</v>
      </c>
      <c r="M32" s="7">
        <f>2/85</f>
        <v>2.3529411764705882E-2</v>
      </c>
      <c r="N32" s="2">
        <v>2</v>
      </c>
      <c r="O32" s="7">
        <f>2/85</f>
        <v>2.3529411764705882E-2</v>
      </c>
    </row>
    <row r="33" spans="1:15" ht="15.75" x14ac:dyDescent="0.25">
      <c r="B33" s="64"/>
      <c r="C33" s="2" t="s">
        <v>11</v>
      </c>
      <c r="D33" s="2">
        <v>4</v>
      </c>
      <c r="E33" s="2">
        <v>4</v>
      </c>
      <c r="F33" s="6">
        <v>1</v>
      </c>
      <c r="G33" s="3">
        <f>1/4</f>
        <v>0.25</v>
      </c>
      <c r="H33" s="2">
        <v>0</v>
      </c>
      <c r="I33" s="34">
        <v>0</v>
      </c>
      <c r="J33" s="2">
        <v>1</v>
      </c>
      <c r="K33" s="34">
        <f>1/4</f>
        <v>0.25</v>
      </c>
      <c r="L33" s="31">
        <v>1</v>
      </c>
      <c r="M33" s="34">
        <f>1/4</f>
        <v>0.25</v>
      </c>
      <c r="N33" s="2">
        <v>0</v>
      </c>
      <c r="O33" s="7">
        <v>0</v>
      </c>
    </row>
    <row r="34" spans="1:15" ht="15.75" x14ac:dyDescent="0.25">
      <c r="B34" s="26" t="s">
        <v>4</v>
      </c>
      <c r="C34" s="9"/>
      <c r="D34" s="21">
        <f>SUM(D31:D33)</f>
        <v>153</v>
      </c>
      <c r="E34" s="14" t="s">
        <v>72</v>
      </c>
      <c r="F34" s="6">
        <f>137/139</f>
        <v>0.98561151079136688</v>
      </c>
      <c r="G34" s="23">
        <f>62/114</f>
        <v>0.54385964912280704</v>
      </c>
      <c r="H34" s="24">
        <f>SUM(H31:H33)</f>
        <v>3</v>
      </c>
      <c r="I34" s="23">
        <f>3/114</f>
        <v>2.6315789473684209E-2</v>
      </c>
      <c r="J34" s="21">
        <f>SUM(J31:J33)</f>
        <v>59</v>
      </c>
      <c r="K34" s="25">
        <f>59/114</f>
        <v>0.51754385964912286</v>
      </c>
      <c r="L34" s="32">
        <f>SUM(L31:L33)</f>
        <v>6</v>
      </c>
      <c r="M34" s="25">
        <f>6/139</f>
        <v>4.3165467625899283E-2</v>
      </c>
      <c r="N34" s="24">
        <f>SUM(N31:N33)</f>
        <v>2</v>
      </c>
      <c r="O34" s="23">
        <f>2/139</f>
        <v>1.4388489208633094E-2</v>
      </c>
    </row>
    <row r="35" spans="1:15" x14ac:dyDescent="0.25">
      <c r="A35">
        <v>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5.75" x14ac:dyDescent="0.25">
      <c r="B36" s="63" t="s">
        <v>17</v>
      </c>
      <c r="C36" s="2" t="s">
        <v>9</v>
      </c>
      <c r="D36" s="2">
        <v>293</v>
      </c>
      <c r="E36" s="2" t="s">
        <v>73</v>
      </c>
      <c r="F36" s="6">
        <f>281/293</f>
        <v>0.95904436860068254</v>
      </c>
      <c r="G36" s="6">
        <f>88/272</f>
        <v>0.3235294117647059</v>
      </c>
      <c r="H36" s="2">
        <v>10</v>
      </c>
      <c r="I36" s="7">
        <f>10/272</f>
        <v>3.6764705882352942E-2</v>
      </c>
      <c r="J36" s="2">
        <v>78</v>
      </c>
      <c r="K36" s="7">
        <f>78/272</f>
        <v>0.28676470588235292</v>
      </c>
      <c r="L36" s="31">
        <v>11</v>
      </c>
      <c r="M36" s="7">
        <f>11/293</f>
        <v>3.7542662116040959E-2</v>
      </c>
      <c r="N36" s="2">
        <v>12</v>
      </c>
      <c r="O36" s="7">
        <f>12/293</f>
        <v>4.0955631399317405E-2</v>
      </c>
    </row>
    <row r="37" spans="1:15" ht="15.75" x14ac:dyDescent="0.25">
      <c r="B37" s="69"/>
      <c r="C37" s="2" t="s">
        <v>11</v>
      </c>
      <c r="D37" s="2">
        <v>44</v>
      </c>
      <c r="E37" s="2">
        <v>44</v>
      </c>
      <c r="F37" s="6">
        <v>1</v>
      </c>
      <c r="G37" s="6">
        <f>17/44</f>
        <v>0.38636363636363635</v>
      </c>
      <c r="H37" s="2">
        <v>5</v>
      </c>
      <c r="I37" s="7">
        <f>5/44</f>
        <v>0.11363636363636363</v>
      </c>
      <c r="J37" s="2">
        <v>12</v>
      </c>
      <c r="K37" s="7">
        <f>12/44</f>
        <v>0.27272727272727271</v>
      </c>
      <c r="L37" s="31">
        <v>3</v>
      </c>
      <c r="M37" s="7">
        <f>3/44</f>
        <v>6.8181818181818177E-2</v>
      </c>
      <c r="N37" s="2">
        <v>0</v>
      </c>
      <c r="O37" s="7">
        <v>0</v>
      </c>
    </row>
    <row r="38" spans="1:15" ht="15.75" x14ac:dyDescent="0.25">
      <c r="B38" s="26" t="s">
        <v>4</v>
      </c>
      <c r="C38" s="9"/>
      <c r="D38" s="21">
        <f>SUM(D36:D37)</f>
        <v>337</v>
      </c>
      <c r="E38" s="21" t="s">
        <v>74</v>
      </c>
      <c r="F38" s="23">
        <f>325/337</f>
        <v>0.96439169139465875</v>
      </c>
      <c r="G38" s="23">
        <f>105/316</f>
        <v>0.33227848101265822</v>
      </c>
      <c r="H38" s="24">
        <f>SUM(H36:H37)</f>
        <v>15</v>
      </c>
      <c r="I38" s="23">
        <f>15/316</f>
        <v>4.746835443037975E-2</v>
      </c>
      <c r="J38" s="21">
        <f>SUM(J36:J37)</f>
        <v>90</v>
      </c>
      <c r="K38" s="25">
        <f>90/316</f>
        <v>0.2848101265822785</v>
      </c>
      <c r="L38" s="32">
        <f>SUM(L36:L37)</f>
        <v>14</v>
      </c>
      <c r="M38" s="25">
        <f>14/337</f>
        <v>4.1543026706231452E-2</v>
      </c>
      <c r="N38" s="24">
        <f>SUM(N36:N37)</f>
        <v>12</v>
      </c>
      <c r="O38" s="23">
        <f>12/337</f>
        <v>3.5608308605341248E-2</v>
      </c>
    </row>
    <row r="39" spans="1:15" x14ac:dyDescent="0.25">
      <c r="A39">
        <v>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3"/>
      <c r="M39" s="27"/>
      <c r="N39" s="27"/>
      <c r="O39" s="27"/>
    </row>
    <row r="40" spans="1:15" ht="15.75" x14ac:dyDescent="0.25">
      <c r="B40" s="63" t="s">
        <v>18</v>
      </c>
      <c r="C40" s="2" t="s">
        <v>8</v>
      </c>
      <c r="D40" s="2">
        <v>30</v>
      </c>
      <c r="E40" s="11" t="s">
        <v>75</v>
      </c>
      <c r="F40" s="3">
        <v>1</v>
      </c>
      <c r="G40" s="3">
        <f>9/12</f>
        <v>0.75</v>
      </c>
      <c r="H40" s="2">
        <v>1</v>
      </c>
      <c r="I40" s="7">
        <f>1/12</f>
        <v>8.3333333333333329E-2</v>
      </c>
      <c r="J40" s="2">
        <v>8</v>
      </c>
      <c r="K40" s="7">
        <f>8/12</f>
        <v>0.66666666666666663</v>
      </c>
      <c r="L40" s="31">
        <v>1</v>
      </c>
      <c r="M40" s="7">
        <f>1/21</f>
        <v>4.7619047619047616E-2</v>
      </c>
      <c r="N40" s="2">
        <v>0</v>
      </c>
      <c r="O40" s="34">
        <v>0</v>
      </c>
    </row>
    <row r="41" spans="1:15" ht="15.75" x14ac:dyDescent="0.25">
      <c r="B41" s="64"/>
      <c r="C41" s="2" t="s">
        <v>9</v>
      </c>
      <c r="D41" s="2">
        <v>34</v>
      </c>
      <c r="E41" s="2" t="s">
        <v>76</v>
      </c>
      <c r="F41" s="3">
        <v>1</v>
      </c>
      <c r="G41" s="6">
        <f>15/29</f>
        <v>0.51724137931034486</v>
      </c>
      <c r="H41" s="2">
        <v>2</v>
      </c>
      <c r="I41" s="7">
        <f>2/29</f>
        <v>6.8965517241379309E-2</v>
      </c>
      <c r="J41" s="2">
        <v>13</v>
      </c>
      <c r="K41" s="7">
        <f>13/29</f>
        <v>0.44827586206896552</v>
      </c>
      <c r="L41" s="31">
        <v>2</v>
      </c>
      <c r="M41" s="7">
        <f>2/34</f>
        <v>5.8823529411764705E-2</v>
      </c>
      <c r="N41" s="2">
        <v>0</v>
      </c>
      <c r="O41" s="34">
        <v>0</v>
      </c>
    </row>
    <row r="42" spans="1:15" ht="15.75" x14ac:dyDescent="0.25">
      <c r="B42" s="64"/>
      <c r="C42" s="2" t="s">
        <v>11</v>
      </c>
      <c r="D42" s="2">
        <v>10</v>
      </c>
      <c r="E42" s="2">
        <v>10</v>
      </c>
      <c r="F42" s="3">
        <v>1</v>
      </c>
      <c r="G42" s="3">
        <f>5/10</f>
        <v>0.5</v>
      </c>
      <c r="H42" s="2">
        <v>0</v>
      </c>
      <c r="I42" s="34">
        <v>0</v>
      </c>
      <c r="J42" s="2">
        <v>5</v>
      </c>
      <c r="K42" s="34">
        <f>5/10</f>
        <v>0.5</v>
      </c>
      <c r="L42" s="31">
        <v>1</v>
      </c>
      <c r="M42" s="34">
        <f>1/10</f>
        <v>0.1</v>
      </c>
      <c r="N42" s="2">
        <v>0</v>
      </c>
      <c r="O42" s="4">
        <v>0</v>
      </c>
    </row>
    <row r="43" spans="1:15" ht="15.75" x14ac:dyDescent="0.25">
      <c r="B43" s="26" t="s">
        <v>4</v>
      </c>
      <c r="C43" s="9"/>
      <c r="D43" s="21">
        <f>SUM(D40:D42)</f>
        <v>74</v>
      </c>
      <c r="E43" s="9" t="s">
        <v>77</v>
      </c>
      <c r="F43" s="22">
        <v>1</v>
      </c>
      <c r="G43" s="23">
        <f>29/51</f>
        <v>0.56862745098039214</v>
      </c>
      <c r="H43" s="24">
        <f>SUM(H40:H42)</f>
        <v>3</v>
      </c>
      <c r="I43" s="23">
        <f>3/51</f>
        <v>5.8823529411764705E-2</v>
      </c>
      <c r="J43" s="21">
        <f>SUM(J40:J42)</f>
        <v>26</v>
      </c>
      <c r="K43" s="25">
        <f>26/51</f>
        <v>0.50980392156862742</v>
      </c>
      <c r="L43" s="32">
        <f>SUM(L40:L42)</f>
        <v>4</v>
      </c>
      <c r="M43" s="25">
        <f>4/65</f>
        <v>6.1538461538461542E-2</v>
      </c>
      <c r="N43" s="24" t="s">
        <v>36</v>
      </c>
      <c r="O43" s="22">
        <v>0</v>
      </c>
    </row>
    <row r="44" spans="1:15" x14ac:dyDescent="0.25">
      <c r="A44">
        <v>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15.75" x14ac:dyDescent="0.25">
      <c r="B45" s="63" t="s">
        <v>19</v>
      </c>
      <c r="C45" s="2" t="s">
        <v>8</v>
      </c>
      <c r="D45" s="2">
        <v>14</v>
      </c>
      <c r="E45" s="44" t="s">
        <v>78</v>
      </c>
      <c r="F45" s="3">
        <v>1</v>
      </c>
      <c r="G45" s="6">
        <f>2/7</f>
        <v>0.2857142857142857</v>
      </c>
      <c r="H45" s="2">
        <v>0</v>
      </c>
      <c r="I45" s="34">
        <v>0</v>
      </c>
      <c r="J45" s="2">
        <v>2</v>
      </c>
      <c r="K45" s="7">
        <f>2/7</f>
        <v>0.2857142857142857</v>
      </c>
      <c r="L45" s="31">
        <v>2</v>
      </c>
      <c r="M45" s="7">
        <f>2/9</f>
        <v>0.22222222222222221</v>
      </c>
      <c r="N45" s="2">
        <v>0</v>
      </c>
      <c r="O45" s="4">
        <v>0</v>
      </c>
    </row>
    <row r="46" spans="1:15" ht="15.75" x14ac:dyDescent="0.25">
      <c r="B46" s="64"/>
      <c r="C46" s="2" t="s">
        <v>9</v>
      </c>
      <c r="D46" s="2">
        <v>20</v>
      </c>
      <c r="E46" s="2" t="s">
        <v>79</v>
      </c>
      <c r="F46" s="3">
        <v>1</v>
      </c>
      <c r="G46" s="6">
        <f>8/17</f>
        <v>0.47058823529411764</v>
      </c>
      <c r="H46" s="2">
        <v>4</v>
      </c>
      <c r="I46" s="7">
        <f>4/17</f>
        <v>0.23529411764705882</v>
      </c>
      <c r="J46" s="2">
        <v>4</v>
      </c>
      <c r="K46" s="7">
        <f>4/17</f>
        <v>0.23529411764705882</v>
      </c>
      <c r="L46" s="31">
        <v>1</v>
      </c>
      <c r="M46" s="7">
        <f>1/21</f>
        <v>4.7619047619047616E-2</v>
      </c>
      <c r="N46" s="2">
        <v>0</v>
      </c>
      <c r="O46" s="4">
        <v>0</v>
      </c>
    </row>
    <row r="47" spans="1:15" ht="15.75" x14ac:dyDescent="0.25">
      <c r="B47" s="64"/>
      <c r="C47" s="2" t="s">
        <v>11</v>
      </c>
      <c r="D47" s="2">
        <v>2</v>
      </c>
      <c r="E47" s="2">
        <v>2</v>
      </c>
      <c r="F47" s="3">
        <v>1</v>
      </c>
      <c r="G47" s="6">
        <f>2/2</f>
        <v>1</v>
      </c>
      <c r="H47" s="2">
        <v>0</v>
      </c>
      <c r="I47" s="7">
        <v>0</v>
      </c>
      <c r="J47" s="2">
        <v>2</v>
      </c>
      <c r="K47" s="34">
        <f>2/2</f>
        <v>1</v>
      </c>
      <c r="L47" s="31">
        <v>0</v>
      </c>
      <c r="M47" s="34">
        <v>0</v>
      </c>
      <c r="N47" s="2">
        <v>0</v>
      </c>
      <c r="O47" s="4">
        <v>0</v>
      </c>
    </row>
    <row r="48" spans="1:15" ht="15.75" x14ac:dyDescent="0.25">
      <c r="B48" s="26" t="s">
        <v>4</v>
      </c>
      <c r="C48" s="9"/>
      <c r="D48" s="21">
        <f>SUM(D45:D47)</f>
        <v>36</v>
      </c>
      <c r="E48" s="9" t="s">
        <v>80</v>
      </c>
      <c r="F48" s="22">
        <v>1</v>
      </c>
      <c r="G48" s="24" t="s">
        <v>125</v>
      </c>
      <c r="H48" s="24" t="s">
        <v>44</v>
      </c>
      <c r="I48" s="23">
        <f>4/26</f>
        <v>0.15384615384615385</v>
      </c>
      <c r="J48" s="21">
        <v>8</v>
      </c>
      <c r="K48" s="25">
        <f>8/26</f>
        <v>0.30769230769230771</v>
      </c>
      <c r="L48" s="32">
        <v>3</v>
      </c>
      <c r="M48" s="25">
        <f>3/32</f>
        <v>9.375E-2</v>
      </c>
      <c r="N48" s="24" t="s">
        <v>36</v>
      </c>
      <c r="O48" s="22">
        <v>0</v>
      </c>
    </row>
    <row r="49" spans="1:15" x14ac:dyDescent="0.25">
      <c r="A49">
        <v>10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ht="15.75" x14ac:dyDescent="0.25">
      <c r="B50" s="63" t="s">
        <v>20</v>
      </c>
      <c r="C50" s="2" t="s">
        <v>8</v>
      </c>
      <c r="D50" s="2">
        <v>14</v>
      </c>
      <c r="E50" s="13" t="s">
        <v>81</v>
      </c>
      <c r="F50" s="6">
        <f>10/11</f>
        <v>0.90909090909090906</v>
      </c>
      <c r="G50" s="6">
        <f>7/11</f>
        <v>0.63636363636363635</v>
      </c>
      <c r="H50" s="2">
        <v>0</v>
      </c>
      <c r="I50" s="34">
        <v>0</v>
      </c>
      <c r="J50" s="2">
        <v>7</v>
      </c>
      <c r="K50" s="7">
        <f>7/11</f>
        <v>0.63636363636363635</v>
      </c>
      <c r="L50" s="31">
        <v>0</v>
      </c>
      <c r="M50" s="34">
        <v>0</v>
      </c>
      <c r="N50" s="2">
        <v>1</v>
      </c>
      <c r="O50" s="7">
        <f>1/11</f>
        <v>9.0909090909090912E-2</v>
      </c>
    </row>
    <row r="51" spans="1:15" ht="15.75" x14ac:dyDescent="0.25">
      <c r="B51" s="64"/>
      <c r="C51" s="2" t="s">
        <v>9</v>
      </c>
      <c r="D51" s="2">
        <v>22</v>
      </c>
      <c r="E51" s="2" t="s">
        <v>82</v>
      </c>
      <c r="F51" s="3">
        <f>21/22</f>
        <v>0.95454545454545459</v>
      </c>
      <c r="G51" s="6">
        <f>4/19</f>
        <v>0.21052631578947367</v>
      </c>
      <c r="H51" s="2">
        <v>0</v>
      </c>
      <c r="I51" s="34">
        <v>0</v>
      </c>
      <c r="J51" s="2">
        <v>4</v>
      </c>
      <c r="K51" s="7">
        <f>4/19</f>
        <v>0.21052631578947367</v>
      </c>
      <c r="L51" s="31">
        <v>0</v>
      </c>
      <c r="M51" s="34">
        <v>0</v>
      </c>
      <c r="N51" s="2">
        <v>1</v>
      </c>
      <c r="O51" s="4">
        <f>1/22</f>
        <v>4.5454545454545456E-2</v>
      </c>
    </row>
    <row r="52" spans="1:15" ht="15.75" x14ac:dyDescent="0.25">
      <c r="B52" s="64"/>
      <c r="C52" s="2" t="s">
        <v>11</v>
      </c>
      <c r="D52" s="2">
        <v>6</v>
      </c>
      <c r="E52" s="2">
        <v>6</v>
      </c>
      <c r="F52" s="3">
        <v>1</v>
      </c>
      <c r="G52" s="3">
        <f>2/6</f>
        <v>0.33333333333333331</v>
      </c>
      <c r="H52" s="2">
        <v>1</v>
      </c>
      <c r="I52" s="34">
        <f>1/6</f>
        <v>0.16666666666666666</v>
      </c>
      <c r="J52" s="2">
        <v>1</v>
      </c>
      <c r="K52" s="34">
        <f>1/6</f>
        <v>0.16666666666666666</v>
      </c>
      <c r="L52" s="31">
        <v>0</v>
      </c>
      <c r="M52" s="34">
        <v>0</v>
      </c>
      <c r="N52" s="2">
        <v>0</v>
      </c>
      <c r="O52" s="4">
        <v>0</v>
      </c>
    </row>
    <row r="53" spans="1:15" ht="15.75" x14ac:dyDescent="0.25">
      <c r="B53" s="26" t="s">
        <v>4</v>
      </c>
      <c r="C53" s="9"/>
      <c r="D53" s="21">
        <f>SUM(D50:D52)</f>
        <v>42</v>
      </c>
      <c r="E53" s="9" t="s">
        <v>83</v>
      </c>
      <c r="F53" s="23">
        <f>37/39</f>
        <v>0.94871794871794868</v>
      </c>
      <c r="G53" s="23">
        <f>13/36</f>
        <v>0.3611111111111111</v>
      </c>
      <c r="H53" s="24" t="s">
        <v>38</v>
      </c>
      <c r="I53" s="23">
        <f>1/36</f>
        <v>2.7777777777777776E-2</v>
      </c>
      <c r="J53" s="21">
        <v>12</v>
      </c>
      <c r="K53" s="25">
        <f>12/36</f>
        <v>0.33333333333333331</v>
      </c>
      <c r="L53" s="32">
        <v>0</v>
      </c>
      <c r="M53" s="62">
        <v>0</v>
      </c>
      <c r="N53" s="24" t="s">
        <v>40</v>
      </c>
      <c r="O53" s="23">
        <f>2/39</f>
        <v>5.128205128205128E-2</v>
      </c>
    </row>
    <row r="54" spans="1:15" x14ac:dyDescent="0.25">
      <c r="A54">
        <v>11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33"/>
      <c r="M54" s="27"/>
      <c r="N54" s="27"/>
      <c r="O54" s="27"/>
    </row>
    <row r="55" spans="1:15" ht="15.75" x14ac:dyDescent="0.25">
      <c r="B55" s="63" t="s">
        <v>21</v>
      </c>
      <c r="C55" s="2" t="s">
        <v>8</v>
      </c>
      <c r="D55" s="2">
        <v>35</v>
      </c>
      <c r="E55" s="11" t="s">
        <v>84</v>
      </c>
      <c r="F55" s="3">
        <v>1</v>
      </c>
      <c r="G55" s="3">
        <v>0</v>
      </c>
      <c r="H55" s="36">
        <v>0</v>
      </c>
      <c r="I55" s="34">
        <v>0</v>
      </c>
      <c r="J55" s="36">
        <v>14</v>
      </c>
      <c r="K55" s="7">
        <f>14/24</f>
        <v>0.58333333333333337</v>
      </c>
      <c r="L55" s="31">
        <v>1</v>
      </c>
      <c r="M55" s="7">
        <f>1/26</f>
        <v>3.8461538461538464E-2</v>
      </c>
      <c r="N55" s="2">
        <v>0</v>
      </c>
      <c r="O55" s="34">
        <v>0</v>
      </c>
    </row>
    <row r="56" spans="1:15" ht="15.75" x14ac:dyDescent="0.25">
      <c r="B56" s="64"/>
      <c r="C56" s="2" t="s">
        <v>9</v>
      </c>
      <c r="D56" s="2">
        <v>43</v>
      </c>
      <c r="E56" s="2" t="s">
        <v>85</v>
      </c>
      <c r="F56" s="3">
        <v>1</v>
      </c>
      <c r="G56" s="6">
        <f>21/41</f>
        <v>0.51219512195121952</v>
      </c>
      <c r="H56" s="36">
        <v>6</v>
      </c>
      <c r="I56" s="7">
        <f>6/41</f>
        <v>0.14634146341463414</v>
      </c>
      <c r="J56" s="36">
        <v>15</v>
      </c>
      <c r="K56" s="7">
        <f>15/41</f>
        <v>0.36585365853658536</v>
      </c>
      <c r="L56" s="31">
        <v>4</v>
      </c>
      <c r="M56" s="7">
        <f>4/44</f>
        <v>9.0909090909090912E-2</v>
      </c>
      <c r="N56" s="2">
        <v>0</v>
      </c>
      <c r="O56" s="4">
        <v>0</v>
      </c>
    </row>
    <row r="57" spans="1:15" ht="15.75" x14ac:dyDescent="0.25">
      <c r="B57" s="64"/>
      <c r="C57" s="2" t="s">
        <v>11</v>
      </c>
      <c r="D57" s="2">
        <v>8</v>
      </c>
      <c r="E57" s="2">
        <v>9</v>
      </c>
      <c r="F57" s="3">
        <v>1</v>
      </c>
      <c r="G57" s="6">
        <f>3/9</f>
        <v>0.33333333333333331</v>
      </c>
      <c r="H57" s="36">
        <v>0</v>
      </c>
      <c r="I57" s="7">
        <v>0</v>
      </c>
      <c r="J57" s="36">
        <v>3</v>
      </c>
      <c r="K57" s="7">
        <f>3/9</f>
        <v>0.33333333333333331</v>
      </c>
      <c r="L57" s="31">
        <v>1</v>
      </c>
      <c r="M57" s="7">
        <f>1/9</f>
        <v>0.1111111111111111</v>
      </c>
      <c r="N57" s="2">
        <v>0</v>
      </c>
      <c r="O57" s="4">
        <v>0</v>
      </c>
    </row>
    <row r="58" spans="1:15" ht="15.75" x14ac:dyDescent="0.25">
      <c r="B58" s="26" t="s">
        <v>4</v>
      </c>
      <c r="C58" s="9"/>
      <c r="D58" s="9">
        <f>SUM(D55:D57)</f>
        <v>86</v>
      </c>
      <c r="E58" s="9" t="s">
        <v>86</v>
      </c>
      <c r="F58" s="22">
        <v>1</v>
      </c>
      <c r="G58" s="23">
        <f>38/74</f>
        <v>0.51351351351351349</v>
      </c>
      <c r="H58" s="37">
        <v>6</v>
      </c>
      <c r="I58" s="23">
        <f>6/74</f>
        <v>8.1081081081081086E-2</v>
      </c>
      <c r="J58" s="37">
        <v>32</v>
      </c>
      <c r="K58" s="25">
        <f>32/74</f>
        <v>0.43243243243243246</v>
      </c>
      <c r="L58" s="32">
        <v>6</v>
      </c>
      <c r="M58" s="25">
        <f>6/79</f>
        <v>7.5949367088607597E-2</v>
      </c>
      <c r="N58" s="24" t="s">
        <v>36</v>
      </c>
      <c r="O58" s="22">
        <v>0</v>
      </c>
    </row>
    <row r="59" spans="1:15" x14ac:dyDescent="0.25">
      <c r="A59">
        <v>12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ht="15.75" x14ac:dyDescent="0.25">
      <c r="B60" s="63" t="s">
        <v>22</v>
      </c>
      <c r="C60" s="2" t="s">
        <v>8</v>
      </c>
      <c r="D60" s="2">
        <v>44</v>
      </c>
      <c r="E60" s="11" t="s">
        <v>87</v>
      </c>
      <c r="F60" s="3">
        <v>1</v>
      </c>
      <c r="G60" s="6">
        <f>15/22</f>
        <v>0.68181818181818177</v>
      </c>
      <c r="H60" s="36">
        <v>5</v>
      </c>
      <c r="I60" s="7">
        <f>5/22</f>
        <v>0.22727272727272727</v>
      </c>
      <c r="J60" s="36">
        <v>10</v>
      </c>
      <c r="K60" s="7">
        <f>10/22</f>
        <v>0.45454545454545453</v>
      </c>
      <c r="L60" s="31">
        <v>0</v>
      </c>
      <c r="M60" s="34">
        <v>0</v>
      </c>
      <c r="N60" s="2">
        <v>0</v>
      </c>
      <c r="O60" s="34">
        <v>0</v>
      </c>
    </row>
    <row r="61" spans="1:15" ht="15.75" x14ac:dyDescent="0.25">
      <c r="B61" s="64"/>
      <c r="C61" s="2" t="s">
        <v>9</v>
      </c>
      <c r="D61" s="2">
        <v>63</v>
      </c>
      <c r="E61" s="2" t="s">
        <v>88</v>
      </c>
      <c r="F61" s="6">
        <f>55/59</f>
        <v>0.93220338983050843</v>
      </c>
      <c r="G61" s="6">
        <f>26/48</f>
        <v>0.54166666666666663</v>
      </c>
      <c r="H61" s="36">
        <v>2</v>
      </c>
      <c r="I61" s="7">
        <f>2/48</f>
        <v>4.1666666666666664E-2</v>
      </c>
      <c r="J61" s="36">
        <v>24</v>
      </c>
      <c r="K61" s="34">
        <f>24/48</f>
        <v>0.5</v>
      </c>
      <c r="L61" s="31">
        <v>4</v>
      </c>
      <c r="M61" s="7">
        <f>4/59</f>
        <v>6.7796610169491525E-2</v>
      </c>
      <c r="N61" s="2">
        <v>4</v>
      </c>
      <c r="O61" s="7">
        <f>4/59</f>
        <v>6.7796610169491525E-2</v>
      </c>
    </row>
    <row r="62" spans="1:15" ht="15.75" x14ac:dyDescent="0.25">
      <c r="B62" s="64"/>
      <c r="C62" s="2" t="s">
        <v>11</v>
      </c>
      <c r="D62" s="2">
        <v>10</v>
      </c>
      <c r="E62" s="5" t="s">
        <v>89</v>
      </c>
      <c r="F62" s="3">
        <f>8/10</f>
        <v>0.8</v>
      </c>
      <c r="G62" s="3">
        <f>3/10</f>
        <v>0.3</v>
      </c>
      <c r="H62" s="2">
        <v>0</v>
      </c>
      <c r="I62" s="34">
        <v>0</v>
      </c>
      <c r="J62" s="2">
        <v>3</v>
      </c>
      <c r="K62" s="34">
        <f>3/10</f>
        <v>0.3</v>
      </c>
      <c r="L62" s="31">
        <v>0</v>
      </c>
      <c r="M62" s="34">
        <v>0</v>
      </c>
      <c r="N62" s="2">
        <v>2</v>
      </c>
      <c r="O62" s="34">
        <f>2/10</f>
        <v>0.2</v>
      </c>
    </row>
    <row r="63" spans="1:15" ht="15.75" x14ac:dyDescent="0.25">
      <c r="B63" s="26" t="s">
        <v>4</v>
      </c>
      <c r="C63" s="9"/>
      <c r="D63" s="9">
        <f>SUM(D60:D62)</f>
        <v>117</v>
      </c>
      <c r="E63" s="14" t="s">
        <v>90</v>
      </c>
      <c r="F63" s="22">
        <f>94/100</f>
        <v>0.94</v>
      </c>
      <c r="G63" s="22">
        <f>44/80</f>
        <v>0.55000000000000004</v>
      </c>
      <c r="H63" s="46">
        <f>SUM(H60:H62)</f>
        <v>7</v>
      </c>
      <c r="I63" s="23">
        <f>7/80</f>
        <v>8.7499999999999994E-2</v>
      </c>
      <c r="J63" s="9">
        <v>37</v>
      </c>
      <c r="K63" s="25">
        <f>37/80</f>
        <v>0.46250000000000002</v>
      </c>
      <c r="L63" s="47">
        <v>4</v>
      </c>
      <c r="M63" s="62">
        <f>4/100</f>
        <v>0.04</v>
      </c>
      <c r="N63" s="46" t="s">
        <v>47</v>
      </c>
      <c r="O63" s="22">
        <f>6/100</f>
        <v>0.06</v>
      </c>
    </row>
    <row r="64" spans="1:15" x14ac:dyDescent="0.25">
      <c r="A64">
        <v>13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33"/>
      <c r="M64" s="27"/>
      <c r="N64" s="27"/>
      <c r="O64" s="27"/>
    </row>
    <row r="65" spans="1:15" ht="15.75" x14ac:dyDescent="0.25">
      <c r="B65" s="63" t="s">
        <v>23</v>
      </c>
      <c r="C65" s="2" t="s">
        <v>8</v>
      </c>
      <c r="D65" s="2">
        <v>13</v>
      </c>
      <c r="E65" s="44" t="s">
        <v>91</v>
      </c>
      <c r="F65" s="3">
        <v>1</v>
      </c>
      <c r="G65" s="3">
        <f>4/4</f>
        <v>1</v>
      </c>
      <c r="H65" s="2">
        <v>0</v>
      </c>
      <c r="I65" s="34">
        <v>0</v>
      </c>
      <c r="J65" s="2">
        <v>4</v>
      </c>
      <c r="K65" s="34">
        <f>4/4</f>
        <v>1</v>
      </c>
      <c r="L65" s="31">
        <v>0</v>
      </c>
      <c r="M65" s="34">
        <v>0</v>
      </c>
      <c r="N65" s="2">
        <v>0</v>
      </c>
      <c r="O65" s="34">
        <v>0</v>
      </c>
    </row>
    <row r="66" spans="1:15" ht="15.75" x14ac:dyDescent="0.25">
      <c r="B66" s="64"/>
      <c r="C66" s="2" t="s">
        <v>9</v>
      </c>
      <c r="D66" s="2">
        <v>20</v>
      </c>
      <c r="E66" s="2" t="s">
        <v>63</v>
      </c>
      <c r="F66" s="3">
        <v>1</v>
      </c>
      <c r="G66" s="6">
        <f>2/15</f>
        <v>0.13333333333333333</v>
      </c>
      <c r="H66" s="2">
        <v>0</v>
      </c>
      <c r="I66" s="34">
        <v>0</v>
      </c>
      <c r="J66" s="2">
        <v>2</v>
      </c>
      <c r="K66" s="7">
        <f>2/15</f>
        <v>0.13333333333333333</v>
      </c>
      <c r="L66" s="31">
        <v>4</v>
      </c>
      <c r="M66" s="34">
        <f>4/20</f>
        <v>0.2</v>
      </c>
      <c r="N66" s="2">
        <v>0</v>
      </c>
      <c r="O66" s="34">
        <v>0</v>
      </c>
    </row>
    <row r="67" spans="1:15" ht="15.75" x14ac:dyDescent="0.25">
      <c r="B67" s="64"/>
      <c r="C67" s="2" t="s">
        <v>11</v>
      </c>
      <c r="D67" s="2">
        <v>9</v>
      </c>
      <c r="E67" s="5" t="s">
        <v>37</v>
      </c>
      <c r="F67" s="3">
        <v>1</v>
      </c>
      <c r="G67" s="3">
        <f>3/9</f>
        <v>0.33333333333333331</v>
      </c>
      <c r="H67" s="2">
        <v>1</v>
      </c>
      <c r="I67" s="34">
        <f>1/9</f>
        <v>0.1111111111111111</v>
      </c>
      <c r="J67" s="2">
        <v>2</v>
      </c>
      <c r="K67" s="7">
        <f>2/9</f>
        <v>0.22222222222222221</v>
      </c>
      <c r="L67" s="31">
        <v>1</v>
      </c>
      <c r="M67" s="34">
        <f>1/9</f>
        <v>0.1111111111111111</v>
      </c>
      <c r="N67" s="2">
        <v>0</v>
      </c>
      <c r="O67" s="34">
        <v>0</v>
      </c>
    </row>
    <row r="68" spans="1:15" ht="15.75" x14ac:dyDescent="0.25">
      <c r="B68" s="26" t="s">
        <v>4</v>
      </c>
      <c r="C68" s="9"/>
      <c r="D68" s="21">
        <f>SUM(D65:D67)</f>
        <v>42</v>
      </c>
      <c r="E68" s="9" t="s">
        <v>92</v>
      </c>
      <c r="F68" s="6">
        <v>1</v>
      </c>
      <c r="G68" s="23">
        <f>9/28</f>
        <v>0.32142857142857145</v>
      </c>
      <c r="H68" s="24" t="s">
        <v>38</v>
      </c>
      <c r="I68" s="23">
        <f>1/28</f>
        <v>3.5714285714285712E-2</v>
      </c>
      <c r="J68" s="21">
        <f>SUM(J65:J67)</f>
        <v>8</v>
      </c>
      <c r="K68" s="25">
        <f>8/28</f>
        <v>0.2857142857142857</v>
      </c>
      <c r="L68" s="32">
        <f>SUM(L65:L67)</f>
        <v>5</v>
      </c>
      <c r="M68" s="25">
        <f>5/38</f>
        <v>0.13157894736842105</v>
      </c>
      <c r="N68" s="24">
        <f>SUM(N65:N67)</f>
        <v>0</v>
      </c>
      <c r="O68" s="34">
        <v>0</v>
      </c>
    </row>
    <row r="69" spans="1:15" x14ac:dyDescent="0.25">
      <c r="A69">
        <v>14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5.75" x14ac:dyDescent="0.25">
      <c r="B70" s="63" t="s">
        <v>24</v>
      </c>
      <c r="C70" s="2" t="s">
        <v>8</v>
      </c>
      <c r="D70" s="2">
        <v>24</v>
      </c>
      <c r="E70" s="13" t="s">
        <v>46</v>
      </c>
      <c r="F70" s="3">
        <v>1</v>
      </c>
      <c r="G70" s="6">
        <f>13/17</f>
        <v>0.76470588235294112</v>
      </c>
      <c r="H70" s="2">
        <v>3</v>
      </c>
      <c r="I70" s="7">
        <f>3/17</f>
        <v>0.17647058823529413</v>
      </c>
      <c r="J70" s="2">
        <v>10</v>
      </c>
      <c r="K70" s="7">
        <f>10/17</f>
        <v>0.58823529411764708</v>
      </c>
      <c r="L70" s="31">
        <v>1</v>
      </c>
      <c r="M70" s="34">
        <f>1/20</f>
        <v>0.05</v>
      </c>
      <c r="N70" s="2">
        <v>0</v>
      </c>
      <c r="O70" s="34">
        <v>0</v>
      </c>
    </row>
    <row r="71" spans="1:15" ht="15.75" x14ac:dyDescent="0.25">
      <c r="B71" s="64"/>
      <c r="C71" s="2" t="s">
        <v>9</v>
      </c>
      <c r="D71" s="2">
        <v>21</v>
      </c>
      <c r="E71" s="2" t="s">
        <v>93</v>
      </c>
      <c r="F71" s="6">
        <f>9/19</f>
        <v>0.47368421052631576</v>
      </c>
      <c r="G71" s="6">
        <f>9/19</f>
        <v>0.47368421052631576</v>
      </c>
      <c r="H71" s="2">
        <v>1</v>
      </c>
      <c r="I71" s="7">
        <f>1/19</f>
        <v>5.2631578947368418E-2</v>
      </c>
      <c r="J71" s="2">
        <v>8</v>
      </c>
      <c r="K71" s="7">
        <f>8/19</f>
        <v>0.42105263157894735</v>
      </c>
      <c r="L71" s="31">
        <v>3</v>
      </c>
      <c r="M71" s="7">
        <f>3/21</f>
        <v>0.14285714285714285</v>
      </c>
      <c r="N71" s="2">
        <v>1</v>
      </c>
      <c r="O71" s="7">
        <f>1/21</f>
        <v>4.7619047619047616E-2</v>
      </c>
    </row>
    <row r="72" spans="1:15" ht="15.75" x14ac:dyDescent="0.25">
      <c r="B72" s="64"/>
      <c r="C72" s="2" t="s">
        <v>11</v>
      </c>
      <c r="D72" s="2">
        <v>1</v>
      </c>
      <c r="E72" s="5" t="s">
        <v>38</v>
      </c>
      <c r="F72" s="3">
        <v>1</v>
      </c>
      <c r="G72" s="3">
        <f>1/1</f>
        <v>1</v>
      </c>
      <c r="H72" s="2">
        <v>0</v>
      </c>
      <c r="I72" s="34">
        <v>0</v>
      </c>
      <c r="J72" s="2">
        <v>1</v>
      </c>
      <c r="K72" s="34">
        <f>1/1</f>
        <v>1</v>
      </c>
      <c r="L72" s="31">
        <v>0</v>
      </c>
      <c r="M72" s="34">
        <v>0</v>
      </c>
      <c r="N72" s="2">
        <v>0</v>
      </c>
      <c r="O72" s="34">
        <v>0</v>
      </c>
    </row>
    <row r="73" spans="1:15" ht="15.75" x14ac:dyDescent="0.25">
      <c r="B73" s="26" t="s">
        <v>4</v>
      </c>
      <c r="C73" s="9"/>
      <c r="D73" s="21">
        <f>SUM(D70:D72)</f>
        <v>46</v>
      </c>
      <c r="E73" s="9" t="s">
        <v>94</v>
      </c>
      <c r="F73" s="23">
        <f>23/37</f>
        <v>0.6216216216216216</v>
      </c>
      <c r="G73" s="23">
        <f>23/37</f>
        <v>0.6216216216216216</v>
      </c>
      <c r="H73" s="24" t="s">
        <v>44</v>
      </c>
      <c r="I73" s="23">
        <f>4/37</f>
        <v>0.10810810810810811</v>
      </c>
      <c r="J73" s="21">
        <v>19</v>
      </c>
      <c r="K73" s="25">
        <f>19/37</f>
        <v>0.51351351351351349</v>
      </c>
      <c r="L73" s="32">
        <v>4</v>
      </c>
      <c r="M73" s="25">
        <f>4/42</f>
        <v>9.5238095238095233E-2</v>
      </c>
      <c r="N73" s="24" t="s">
        <v>38</v>
      </c>
      <c r="O73" s="23">
        <f>1/42</f>
        <v>2.3809523809523808E-2</v>
      </c>
    </row>
    <row r="74" spans="1:15" x14ac:dyDescent="0.25">
      <c r="A74">
        <v>15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5.75" x14ac:dyDescent="0.25">
      <c r="B75" s="63" t="s">
        <v>25</v>
      </c>
      <c r="C75" s="2" t="s">
        <v>8</v>
      </c>
      <c r="D75" s="2">
        <v>56</v>
      </c>
      <c r="E75" s="41" t="s">
        <v>95</v>
      </c>
      <c r="F75" s="6">
        <f>42/44</f>
        <v>0.95454545454545459</v>
      </c>
      <c r="G75" s="6">
        <f>8/33</f>
        <v>0.24242424242424243</v>
      </c>
      <c r="H75" s="2">
        <v>0</v>
      </c>
      <c r="I75" s="34">
        <v>0</v>
      </c>
      <c r="J75" s="2">
        <v>8</v>
      </c>
      <c r="K75" s="7">
        <f>8/33</f>
        <v>0.24242424242424243</v>
      </c>
      <c r="L75" s="31">
        <v>5</v>
      </c>
      <c r="M75" s="7">
        <f>5/44</f>
        <v>0.11363636363636363</v>
      </c>
      <c r="N75" s="2">
        <v>2</v>
      </c>
      <c r="O75" s="7">
        <f>2/44</f>
        <v>4.5454545454545456E-2</v>
      </c>
    </row>
    <row r="76" spans="1:15" ht="15.75" x14ac:dyDescent="0.25">
      <c r="B76" s="64"/>
      <c r="C76" s="2" t="s">
        <v>9</v>
      </c>
      <c r="D76" s="2">
        <v>49</v>
      </c>
      <c r="E76" s="2" t="s">
        <v>96</v>
      </c>
      <c r="F76" s="6">
        <f>45/49</f>
        <v>0.91836734693877553</v>
      </c>
      <c r="G76" s="6">
        <f>13/37</f>
        <v>0.35135135135135137</v>
      </c>
      <c r="H76" s="2">
        <v>0</v>
      </c>
      <c r="I76" s="34">
        <v>0</v>
      </c>
      <c r="J76" s="2">
        <v>13</v>
      </c>
      <c r="K76" s="7">
        <f>13/37</f>
        <v>0.35135135135135137</v>
      </c>
      <c r="L76" s="31">
        <v>1</v>
      </c>
      <c r="M76" s="34">
        <f>1/49</f>
        <v>2.0408163265306121E-2</v>
      </c>
      <c r="N76" s="2">
        <v>4</v>
      </c>
      <c r="O76" s="7">
        <f>4/49</f>
        <v>8.1632653061224483E-2</v>
      </c>
    </row>
    <row r="77" spans="1:15" ht="15.75" x14ac:dyDescent="0.25">
      <c r="B77" s="64"/>
      <c r="C77" s="2" t="s">
        <v>11</v>
      </c>
      <c r="D77" s="2">
        <v>6</v>
      </c>
      <c r="E77" s="2">
        <v>6</v>
      </c>
      <c r="F77" s="3">
        <v>1</v>
      </c>
      <c r="G77" s="6">
        <f>2/6</f>
        <v>0.33333333333333331</v>
      </c>
      <c r="H77" s="2">
        <v>0</v>
      </c>
      <c r="I77" s="34">
        <v>0</v>
      </c>
      <c r="J77" s="2">
        <v>2</v>
      </c>
      <c r="K77" s="7">
        <f>2/6</f>
        <v>0.33333333333333331</v>
      </c>
      <c r="L77" s="31">
        <v>1</v>
      </c>
      <c r="M77" s="7">
        <f>1/6</f>
        <v>0.16666666666666666</v>
      </c>
      <c r="N77" s="2">
        <v>0</v>
      </c>
      <c r="O77" s="34">
        <v>0</v>
      </c>
    </row>
    <row r="78" spans="1:15" ht="15.75" x14ac:dyDescent="0.25">
      <c r="B78" s="26" t="s">
        <v>4</v>
      </c>
      <c r="C78" s="9"/>
      <c r="D78" s="21">
        <f>SUM(D75:D77)</f>
        <v>111</v>
      </c>
      <c r="E78" s="42" t="s">
        <v>97</v>
      </c>
      <c r="F78" s="23">
        <f>93/99</f>
        <v>0.93939393939393945</v>
      </c>
      <c r="G78" s="23">
        <f>23/76</f>
        <v>0.30263157894736842</v>
      </c>
      <c r="H78" s="24" t="s">
        <v>36</v>
      </c>
      <c r="I78" s="22">
        <v>0</v>
      </c>
      <c r="J78" s="21">
        <v>23</v>
      </c>
      <c r="K78" s="25">
        <f>23/76</f>
        <v>0.30263157894736842</v>
      </c>
      <c r="L78" s="32">
        <v>7</v>
      </c>
      <c r="M78" s="25">
        <f>7/99</f>
        <v>7.0707070707070704E-2</v>
      </c>
      <c r="N78" s="24" t="s">
        <v>47</v>
      </c>
      <c r="O78" s="23">
        <f>6/99</f>
        <v>6.0606060606060608E-2</v>
      </c>
    </row>
    <row r="79" spans="1:15" x14ac:dyDescent="0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1:15" ht="15.75" x14ac:dyDescent="0.25">
      <c r="B80" s="63" t="s">
        <v>34</v>
      </c>
      <c r="C80" s="2" t="s">
        <v>8</v>
      </c>
      <c r="D80" s="2">
        <v>25</v>
      </c>
      <c r="E80" s="44" t="s">
        <v>98</v>
      </c>
      <c r="F80" s="3">
        <v>9.5652173913043474E-3</v>
      </c>
      <c r="G80" s="6">
        <f>10/19</f>
        <v>0.52631578947368418</v>
      </c>
      <c r="H80" s="2">
        <v>4</v>
      </c>
      <c r="I80" s="7">
        <f>4/19</f>
        <v>0.21052631578947367</v>
      </c>
      <c r="J80" s="2">
        <v>6</v>
      </c>
      <c r="K80" s="7">
        <f>6/19</f>
        <v>0.31578947368421051</v>
      </c>
      <c r="L80" s="31">
        <v>0</v>
      </c>
      <c r="M80" s="34">
        <v>0</v>
      </c>
      <c r="N80" s="2">
        <v>1</v>
      </c>
      <c r="O80" s="34">
        <f>1/23</f>
        <v>4.3478260869565216E-2</v>
      </c>
    </row>
    <row r="81" spans="2:15" ht="15.75" x14ac:dyDescent="0.25">
      <c r="B81" s="64"/>
      <c r="C81" s="2" t="s">
        <v>9</v>
      </c>
      <c r="D81" s="2">
        <v>21</v>
      </c>
      <c r="E81" s="2" t="s">
        <v>99</v>
      </c>
      <c r="F81" s="3">
        <f>19/20</f>
        <v>0.95</v>
      </c>
      <c r="G81" s="6">
        <f>5/16</f>
        <v>0.3125</v>
      </c>
      <c r="H81" s="2">
        <v>2</v>
      </c>
      <c r="I81" s="7">
        <f>2/16</f>
        <v>0.125</v>
      </c>
      <c r="J81" s="2">
        <v>3</v>
      </c>
      <c r="K81" s="7">
        <f>3/16</f>
        <v>0.1875</v>
      </c>
      <c r="L81" s="31">
        <v>2</v>
      </c>
      <c r="M81" s="34">
        <f>2/20</f>
        <v>0.1</v>
      </c>
      <c r="N81" s="2">
        <v>1</v>
      </c>
      <c r="O81" s="34">
        <f>1/20</f>
        <v>0.05</v>
      </c>
    </row>
    <row r="82" spans="2:15" ht="15.75" x14ac:dyDescent="0.25">
      <c r="B82" s="64"/>
      <c r="C82" s="2" t="s">
        <v>11</v>
      </c>
      <c r="D82" s="2">
        <v>5</v>
      </c>
      <c r="E82" s="5" t="s">
        <v>41</v>
      </c>
      <c r="F82" s="3">
        <f>4/5</f>
        <v>0.8</v>
      </c>
      <c r="G82" s="3">
        <f>3/5</f>
        <v>0.6</v>
      </c>
      <c r="H82" s="2">
        <v>0</v>
      </c>
      <c r="I82" s="34">
        <v>0</v>
      </c>
      <c r="J82" s="2">
        <v>3</v>
      </c>
      <c r="K82" s="34">
        <f>3/5</f>
        <v>0.6</v>
      </c>
      <c r="L82" s="31">
        <v>0</v>
      </c>
      <c r="M82" s="34">
        <v>0</v>
      </c>
      <c r="N82" s="2">
        <v>1</v>
      </c>
      <c r="O82" s="34">
        <f>1/5</f>
        <v>0.2</v>
      </c>
    </row>
    <row r="83" spans="2:15" ht="15.75" x14ac:dyDescent="0.25">
      <c r="B83" s="26" t="s">
        <v>4</v>
      </c>
      <c r="C83" s="9"/>
      <c r="D83" s="9">
        <f>SUM(D80:D82)</f>
        <v>51</v>
      </c>
      <c r="E83" s="9" t="s">
        <v>100</v>
      </c>
      <c r="F83" s="23">
        <f>45/48</f>
        <v>0.9375</v>
      </c>
      <c r="G83" s="23">
        <f>18/40</f>
        <v>0.45</v>
      </c>
      <c r="H83" s="24" t="s">
        <v>47</v>
      </c>
      <c r="I83" s="22">
        <f>6/40</f>
        <v>0.15</v>
      </c>
      <c r="J83" s="21">
        <v>12</v>
      </c>
      <c r="K83" s="62">
        <f>12/40</f>
        <v>0.3</v>
      </c>
      <c r="L83" s="32">
        <v>2</v>
      </c>
      <c r="M83" s="25">
        <f>2/48</f>
        <v>4.1666666666666664E-2</v>
      </c>
      <c r="N83" s="24" t="s">
        <v>101</v>
      </c>
      <c r="O83" s="23">
        <f>3/48</f>
        <v>6.25E-2</v>
      </c>
    </row>
    <row r="84" spans="2:15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33"/>
      <c r="M84" s="27"/>
      <c r="N84" s="27"/>
      <c r="O84" s="27"/>
    </row>
    <row r="85" spans="2:15" ht="15.75" x14ac:dyDescent="0.25">
      <c r="B85" s="63" t="s">
        <v>26</v>
      </c>
      <c r="C85" s="2" t="s">
        <v>8</v>
      </c>
      <c r="D85" s="2">
        <v>25</v>
      </c>
      <c r="E85" s="11" t="s">
        <v>102</v>
      </c>
      <c r="F85" s="3">
        <v>1</v>
      </c>
      <c r="G85" s="6">
        <f>14/16</f>
        <v>0.875</v>
      </c>
      <c r="H85" s="2">
        <v>4</v>
      </c>
      <c r="I85" s="34">
        <f>4/16</f>
        <v>0.25</v>
      </c>
      <c r="J85" s="2">
        <v>10</v>
      </c>
      <c r="K85" s="7">
        <f>10/16</f>
        <v>0.625</v>
      </c>
      <c r="L85" s="31">
        <v>0</v>
      </c>
      <c r="M85" s="34">
        <v>0</v>
      </c>
      <c r="N85" s="2">
        <v>0</v>
      </c>
      <c r="O85" s="34">
        <v>0</v>
      </c>
    </row>
    <row r="86" spans="2:15" ht="15.75" x14ac:dyDescent="0.25">
      <c r="B86" s="64"/>
      <c r="C86" s="2" t="s">
        <v>9</v>
      </c>
      <c r="D86" s="2">
        <v>34</v>
      </c>
      <c r="E86" s="2" t="s">
        <v>103</v>
      </c>
      <c r="F86" s="3">
        <v>1</v>
      </c>
      <c r="G86" s="3">
        <f>14/35</f>
        <v>0.4</v>
      </c>
      <c r="H86" s="2">
        <v>3</v>
      </c>
      <c r="I86" s="7">
        <f>3/35</f>
        <v>8.5714285714285715E-2</v>
      </c>
      <c r="J86" s="2">
        <v>11</v>
      </c>
      <c r="K86" s="7">
        <f>11/35</f>
        <v>0.31428571428571428</v>
      </c>
      <c r="L86" s="31">
        <v>0</v>
      </c>
      <c r="M86" s="34">
        <v>0</v>
      </c>
      <c r="N86" s="2">
        <v>0</v>
      </c>
      <c r="O86" s="34">
        <v>0</v>
      </c>
    </row>
    <row r="87" spans="2:15" ht="15.75" x14ac:dyDescent="0.25">
      <c r="B87" s="64"/>
      <c r="C87" s="2" t="s">
        <v>11</v>
      </c>
      <c r="D87" s="2">
        <v>7</v>
      </c>
      <c r="E87" s="5" t="s">
        <v>35</v>
      </c>
      <c r="F87" s="3">
        <v>1</v>
      </c>
      <c r="G87" s="5" t="s">
        <v>126</v>
      </c>
      <c r="H87" s="2">
        <v>4</v>
      </c>
      <c r="I87" s="34">
        <f>4/7</f>
        <v>0.5714285714285714</v>
      </c>
      <c r="J87" s="2">
        <v>2</v>
      </c>
      <c r="K87" s="7">
        <f>2/7</f>
        <v>0.2857142857142857</v>
      </c>
      <c r="L87" s="31">
        <v>0</v>
      </c>
      <c r="M87" s="34">
        <v>0</v>
      </c>
      <c r="N87" s="2">
        <v>0</v>
      </c>
      <c r="O87" s="34">
        <v>0</v>
      </c>
    </row>
    <row r="88" spans="2:15" ht="15.75" x14ac:dyDescent="0.25">
      <c r="B88" s="26" t="s">
        <v>4</v>
      </c>
      <c r="C88" s="9"/>
      <c r="D88" s="21">
        <f>SUM(D85:D87)</f>
        <v>66</v>
      </c>
      <c r="E88" s="42" t="s">
        <v>104</v>
      </c>
      <c r="F88" s="3">
        <v>1</v>
      </c>
      <c r="G88" s="23">
        <f>34/58</f>
        <v>0.58620689655172409</v>
      </c>
      <c r="H88" s="24">
        <f>SUM(H85:H87)</f>
        <v>11</v>
      </c>
      <c r="I88" s="22">
        <f>11/58</f>
        <v>0.18965517241379309</v>
      </c>
      <c r="J88" s="21">
        <f>SUM(J85:J87)</f>
        <v>23</v>
      </c>
      <c r="K88" s="25">
        <f>23/58</f>
        <v>0.39655172413793105</v>
      </c>
      <c r="L88" s="32">
        <f>SUM(L85:L87)</f>
        <v>0</v>
      </c>
      <c r="M88" s="34">
        <v>0</v>
      </c>
      <c r="N88" s="24">
        <f>SUM(N85:N87)</f>
        <v>0</v>
      </c>
      <c r="O88" s="34">
        <v>0</v>
      </c>
    </row>
    <row r="89" spans="2:15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33"/>
      <c r="M89" s="27"/>
      <c r="N89" s="27"/>
      <c r="O89" s="27"/>
    </row>
    <row r="90" spans="2:15" ht="15.75" x14ac:dyDescent="0.25">
      <c r="B90" s="63" t="s">
        <v>27</v>
      </c>
      <c r="C90" s="2" t="s">
        <v>8</v>
      </c>
      <c r="D90" s="2">
        <v>21</v>
      </c>
      <c r="E90" s="44" t="s">
        <v>105</v>
      </c>
      <c r="F90" s="3">
        <v>1</v>
      </c>
      <c r="G90" s="6">
        <f>14/18</f>
        <v>0.77777777777777779</v>
      </c>
      <c r="H90" s="2">
        <v>1</v>
      </c>
      <c r="I90" s="34">
        <f>1/18</f>
        <v>5.5555555555555552E-2</v>
      </c>
      <c r="J90" s="2">
        <v>13</v>
      </c>
      <c r="K90" s="7">
        <f>13/18</f>
        <v>0.72222222222222221</v>
      </c>
      <c r="L90" s="31">
        <v>0</v>
      </c>
      <c r="M90" s="34">
        <v>0</v>
      </c>
      <c r="N90" s="2">
        <v>0</v>
      </c>
      <c r="O90" s="34">
        <v>0</v>
      </c>
    </row>
    <row r="91" spans="2:15" ht="15.75" x14ac:dyDescent="0.25">
      <c r="B91" s="64"/>
      <c r="C91" s="2" t="s">
        <v>9</v>
      </c>
      <c r="D91" s="2">
        <v>13</v>
      </c>
      <c r="E91" s="5" t="s">
        <v>106</v>
      </c>
      <c r="F91" s="3">
        <v>1</v>
      </c>
      <c r="G91" s="6">
        <f>2/12</f>
        <v>0.16666666666666666</v>
      </c>
      <c r="H91" s="2">
        <v>0</v>
      </c>
      <c r="I91" s="34">
        <v>0</v>
      </c>
      <c r="J91" s="2">
        <v>2</v>
      </c>
      <c r="K91" s="7">
        <f>2/12</f>
        <v>0.16666666666666666</v>
      </c>
      <c r="L91" s="31">
        <v>0</v>
      </c>
      <c r="M91" s="34">
        <v>0</v>
      </c>
      <c r="N91" s="2">
        <v>0</v>
      </c>
      <c r="O91" s="34">
        <v>0</v>
      </c>
    </row>
    <row r="92" spans="2:15" ht="15.75" x14ac:dyDescent="0.25">
      <c r="B92" s="26" t="s">
        <v>4</v>
      </c>
      <c r="C92" s="9"/>
      <c r="D92" s="21">
        <f>SUM(D90:D91)</f>
        <v>34</v>
      </c>
      <c r="E92" s="9" t="s">
        <v>107</v>
      </c>
      <c r="F92" s="22">
        <v>1</v>
      </c>
      <c r="G92" s="23">
        <f>16/30</f>
        <v>0.53333333333333333</v>
      </c>
      <c r="H92" s="24" t="s">
        <v>38</v>
      </c>
      <c r="I92" s="23">
        <f>1/30</f>
        <v>3.3333333333333333E-2</v>
      </c>
      <c r="J92" s="21">
        <v>15</v>
      </c>
      <c r="K92" s="62">
        <f>15/30</f>
        <v>0.5</v>
      </c>
      <c r="L92" s="32">
        <v>0</v>
      </c>
      <c r="M92" s="34">
        <v>0</v>
      </c>
      <c r="N92" s="24" t="s">
        <v>36</v>
      </c>
      <c r="O92" s="34">
        <v>0</v>
      </c>
    </row>
    <row r="93" spans="2:15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33"/>
      <c r="M93" s="27"/>
      <c r="N93" s="27"/>
      <c r="O93" s="27"/>
    </row>
    <row r="94" spans="2:15" ht="15.75" x14ac:dyDescent="0.25">
      <c r="B94" s="63" t="s">
        <v>28</v>
      </c>
      <c r="C94" s="2" t="s">
        <v>8</v>
      </c>
      <c r="D94" s="2">
        <v>4</v>
      </c>
      <c r="E94" s="5" t="s">
        <v>108</v>
      </c>
      <c r="F94" s="3">
        <v>1</v>
      </c>
      <c r="G94" s="6">
        <f>2/3</f>
        <v>0.66666666666666663</v>
      </c>
      <c r="H94" s="2">
        <v>0</v>
      </c>
      <c r="I94" s="34">
        <v>0</v>
      </c>
      <c r="J94" s="2">
        <v>2</v>
      </c>
      <c r="K94" s="7">
        <f>2/3</f>
        <v>0.66666666666666663</v>
      </c>
      <c r="L94" s="31">
        <v>0</v>
      </c>
      <c r="M94" s="34">
        <v>0</v>
      </c>
      <c r="N94" s="2">
        <v>0</v>
      </c>
      <c r="O94" s="34">
        <v>0</v>
      </c>
    </row>
    <row r="95" spans="2:15" ht="15.75" x14ac:dyDescent="0.25">
      <c r="B95" s="64"/>
      <c r="C95" s="2" t="s">
        <v>9</v>
      </c>
      <c r="D95" s="2">
        <v>17</v>
      </c>
      <c r="E95" s="2" t="s">
        <v>42</v>
      </c>
      <c r="F95" s="3">
        <v>1</v>
      </c>
      <c r="G95" s="6">
        <f>4/13</f>
        <v>0.30769230769230771</v>
      </c>
      <c r="H95" s="2">
        <v>0</v>
      </c>
      <c r="I95" s="34">
        <v>0</v>
      </c>
      <c r="J95" s="2">
        <v>4</v>
      </c>
      <c r="K95" s="7">
        <f>4/13</f>
        <v>0.30769230769230771</v>
      </c>
      <c r="L95" s="31">
        <v>0</v>
      </c>
      <c r="M95" s="34">
        <v>0</v>
      </c>
      <c r="N95" s="2">
        <v>0</v>
      </c>
      <c r="O95" s="34">
        <v>0</v>
      </c>
    </row>
    <row r="96" spans="2:15" ht="15.75" x14ac:dyDescent="0.25">
      <c r="B96" s="26" t="s">
        <v>4</v>
      </c>
      <c r="C96" s="9"/>
      <c r="D96" s="21">
        <f>SUM(D94:D95)</f>
        <v>21</v>
      </c>
      <c r="E96" s="9" t="s">
        <v>45</v>
      </c>
      <c r="F96" s="22">
        <v>1</v>
      </c>
      <c r="G96" s="23">
        <f>6/16</f>
        <v>0.375</v>
      </c>
      <c r="H96" s="24" t="s">
        <v>36</v>
      </c>
      <c r="I96" s="22">
        <v>0</v>
      </c>
      <c r="J96" s="21">
        <v>6</v>
      </c>
      <c r="K96" s="25">
        <f>6/16</f>
        <v>0.375</v>
      </c>
      <c r="L96" s="32">
        <v>0</v>
      </c>
      <c r="M96" s="22">
        <v>0</v>
      </c>
      <c r="N96" s="24" t="s">
        <v>36</v>
      </c>
      <c r="O96" s="22">
        <v>0</v>
      </c>
    </row>
    <row r="97" spans="2:15" x14ac:dyDescent="0.2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 ht="15.75" x14ac:dyDescent="0.25">
      <c r="B98" s="63" t="s">
        <v>29</v>
      </c>
      <c r="C98" s="2" t="s">
        <v>8</v>
      </c>
      <c r="D98" s="2">
        <v>16</v>
      </c>
      <c r="E98" s="44" t="s">
        <v>109</v>
      </c>
      <c r="F98" s="3">
        <v>1</v>
      </c>
      <c r="G98" s="3">
        <f>9/12</f>
        <v>0.75</v>
      </c>
      <c r="H98" s="2">
        <v>0</v>
      </c>
      <c r="I98" s="34">
        <v>0</v>
      </c>
      <c r="J98" s="2">
        <v>9</v>
      </c>
      <c r="K98" s="7">
        <f>9/12</f>
        <v>0.75</v>
      </c>
      <c r="L98" s="31">
        <v>1</v>
      </c>
      <c r="M98" s="7">
        <f>1/12</f>
        <v>8.3333333333333329E-2</v>
      </c>
      <c r="N98" s="2">
        <v>0</v>
      </c>
      <c r="O98" s="34">
        <v>0</v>
      </c>
    </row>
    <row r="99" spans="2:15" ht="15.75" x14ac:dyDescent="0.25">
      <c r="B99" s="64"/>
      <c r="C99" s="2" t="s">
        <v>9</v>
      </c>
      <c r="D99" s="2">
        <v>19</v>
      </c>
      <c r="E99" s="5" t="s">
        <v>110</v>
      </c>
      <c r="F99" s="3">
        <v>1</v>
      </c>
      <c r="G99" s="6">
        <f>11/17</f>
        <v>0.6470588235294118</v>
      </c>
      <c r="H99" s="2">
        <v>1</v>
      </c>
      <c r="I99" s="34">
        <f>1/17</f>
        <v>5.8823529411764705E-2</v>
      </c>
      <c r="J99" s="2">
        <v>10</v>
      </c>
      <c r="K99" s="7">
        <f>10/17</f>
        <v>0.58823529411764708</v>
      </c>
      <c r="L99" s="31">
        <v>4</v>
      </c>
      <c r="M99" s="7">
        <f>4/18</f>
        <v>0.22222222222222221</v>
      </c>
      <c r="N99" s="2">
        <v>0</v>
      </c>
      <c r="O99" s="34">
        <v>0</v>
      </c>
    </row>
    <row r="100" spans="2:15" ht="15.75" x14ac:dyDescent="0.25">
      <c r="B100" s="26" t="s">
        <v>4</v>
      </c>
      <c r="C100" s="9"/>
      <c r="D100" s="21">
        <f>SUM(D98:D99)</f>
        <v>35</v>
      </c>
      <c r="E100" s="9" t="s">
        <v>111</v>
      </c>
      <c r="F100" s="22">
        <v>1</v>
      </c>
      <c r="G100" s="23">
        <f>20/29</f>
        <v>0.68965517241379315</v>
      </c>
      <c r="H100" s="24" t="s">
        <v>38</v>
      </c>
      <c r="I100" s="23">
        <f>1/29</f>
        <v>3.4482758620689655E-2</v>
      </c>
      <c r="J100" s="21">
        <v>19</v>
      </c>
      <c r="K100" s="25">
        <f>19/29</f>
        <v>0.65517241379310343</v>
      </c>
      <c r="L100" s="32">
        <v>5</v>
      </c>
      <c r="M100" s="25">
        <f>5/30</f>
        <v>0.16666666666666666</v>
      </c>
      <c r="N100" s="24" t="s">
        <v>36</v>
      </c>
      <c r="O100" s="22">
        <v>0</v>
      </c>
    </row>
    <row r="101" spans="2:15" x14ac:dyDescent="0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 ht="15.75" x14ac:dyDescent="0.25">
      <c r="B102" s="63" t="s">
        <v>30</v>
      </c>
      <c r="C102" s="2" t="s">
        <v>8</v>
      </c>
      <c r="D102" s="2">
        <v>13</v>
      </c>
      <c r="E102" s="13" t="s">
        <v>112</v>
      </c>
      <c r="F102" s="3">
        <v>1</v>
      </c>
      <c r="G102" s="6">
        <f>7/9</f>
        <v>0.77777777777777779</v>
      </c>
      <c r="H102" s="2">
        <v>1</v>
      </c>
      <c r="I102" s="7">
        <f>1/9</f>
        <v>0.1111111111111111</v>
      </c>
      <c r="J102" s="2">
        <v>6</v>
      </c>
      <c r="K102" s="7">
        <f>6/9</f>
        <v>0.66666666666666663</v>
      </c>
      <c r="L102" s="31">
        <v>2</v>
      </c>
      <c r="M102" s="7">
        <f>2/11</f>
        <v>0.18181818181818182</v>
      </c>
      <c r="N102" s="2">
        <v>0</v>
      </c>
      <c r="O102" s="34">
        <v>0</v>
      </c>
    </row>
    <row r="103" spans="2:15" ht="15.75" x14ac:dyDescent="0.25">
      <c r="B103" s="64"/>
      <c r="C103" s="2" t="s">
        <v>9</v>
      </c>
      <c r="D103" s="2">
        <v>23</v>
      </c>
      <c r="E103" s="5" t="s">
        <v>113</v>
      </c>
      <c r="F103" s="3">
        <v>1</v>
      </c>
      <c r="G103" s="6">
        <f>14/23</f>
        <v>0.60869565217391308</v>
      </c>
      <c r="H103" s="2">
        <v>5</v>
      </c>
      <c r="I103" s="7">
        <f>5/23</f>
        <v>0.21739130434782608</v>
      </c>
      <c r="J103" s="2">
        <v>9</v>
      </c>
      <c r="K103" s="7">
        <f>9/23</f>
        <v>0.39130434782608697</v>
      </c>
      <c r="L103" s="31">
        <v>9</v>
      </c>
      <c r="M103" s="7">
        <f>9/26</f>
        <v>0.34615384615384615</v>
      </c>
      <c r="N103" s="2">
        <v>0</v>
      </c>
      <c r="O103" s="34">
        <v>0</v>
      </c>
    </row>
    <row r="104" spans="2:15" ht="15.75" x14ac:dyDescent="0.25">
      <c r="B104" s="26" t="s">
        <v>4</v>
      </c>
      <c r="C104" s="9"/>
      <c r="D104" s="21">
        <f>SUM(D102:D103)</f>
        <v>36</v>
      </c>
      <c r="E104" s="9" t="s">
        <v>114</v>
      </c>
      <c r="F104" s="22">
        <v>1</v>
      </c>
      <c r="G104" s="23">
        <f>21/32</f>
        <v>0.65625</v>
      </c>
      <c r="H104" s="24" t="s">
        <v>47</v>
      </c>
      <c r="I104" s="23">
        <f>6/32</f>
        <v>0.1875</v>
      </c>
      <c r="J104" s="21">
        <v>15</v>
      </c>
      <c r="K104" s="25">
        <f>15/32</f>
        <v>0.46875</v>
      </c>
      <c r="L104" s="32">
        <v>11</v>
      </c>
      <c r="M104" s="25">
        <f>11/37</f>
        <v>0.29729729729729731</v>
      </c>
      <c r="N104" s="24" t="s">
        <v>36</v>
      </c>
      <c r="O104" s="22">
        <v>0</v>
      </c>
    </row>
    <row r="106" spans="2:15" ht="15.75" x14ac:dyDescent="0.25">
      <c r="B106" s="63" t="s">
        <v>31</v>
      </c>
      <c r="C106" s="2" t="s">
        <v>8</v>
      </c>
      <c r="D106" s="2">
        <v>8</v>
      </c>
      <c r="E106" s="13" t="s">
        <v>115</v>
      </c>
      <c r="F106" s="3">
        <v>1</v>
      </c>
      <c r="G106" s="6">
        <f>3/5</f>
        <v>0.6</v>
      </c>
      <c r="H106" s="2">
        <v>0</v>
      </c>
      <c r="I106" s="34">
        <v>0</v>
      </c>
      <c r="J106" s="2">
        <v>3</v>
      </c>
      <c r="K106" s="3">
        <f>3/5</f>
        <v>0.6</v>
      </c>
      <c r="L106" s="5" t="s">
        <v>36</v>
      </c>
      <c r="M106" s="3">
        <v>0</v>
      </c>
      <c r="N106" s="2">
        <v>0</v>
      </c>
      <c r="O106" s="34">
        <v>0</v>
      </c>
    </row>
    <row r="107" spans="2:15" ht="15.75" x14ac:dyDescent="0.25">
      <c r="B107" s="64"/>
      <c r="C107" s="2" t="s">
        <v>9</v>
      </c>
      <c r="D107" s="2">
        <v>13</v>
      </c>
      <c r="E107" s="5" t="s">
        <v>116</v>
      </c>
      <c r="F107" s="3">
        <v>1</v>
      </c>
      <c r="G107" s="6">
        <f>7/11</f>
        <v>0.63636363636363635</v>
      </c>
      <c r="H107" s="2">
        <v>1</v>
      </c>
      <c r="I107" s="7">
        <f>1/11</f>
        <v>9.0909090909090912E-2</v>
      </c>
      <c r="J107" s="2">
        <v>6</v>
      </c>
      <c r="K107" s="6">
        <f>6/11</f>
        <v>0.54545454545454541</v>
      </c>
      <c r="L107" s="36">
        <v>1</v>
      </c>
      <c r="M107" s="6">
        <f>1/14</f>
        <v>7.1428571428571425E-2</v>
      </c>
      <c r="N107" s="2">
        <v>0</v>
      </c>
      <c r="O107" s="34">
        <v>0</v>
      </c>
    </row>
    <row r="108" spans="2:15" ht="15.75" x14ac:dyDescent="0.25">
      <c r="B108" s="26" t="s">
        <v>4</v>
      </c>
      <c r="C108" s="9"/>
      <c r="D108" s="21">
        <f>SUM(D106:D107)</f>
        <v>21</v>
      </c>
      <c r="E108" s="9" t="s">
        <v>117</v>
      </c>
      <c r="F108" s="22">
        <v>1</v>
      </c>
      <c r="G108" s="23">
        <f>10/16</f>
        <v>0.625</v>
      </c>
      <c r="H108" s="24" t="s">
        <v>38</v>
      </c>
      <c r="I108" s="23">
        <f>1/16</f>
        <v>6.25E-2</v>
      </c>
      <c r="J108" s="21">
        <v>9</v>
      </c>
      <c r="K108" s="23">
        <f>9/16</f>
        <v>0.5625</v>
      </c>
      <c r="L108" s="37">
        <v>1</v>
      </c>
      <c r="M108" s="23">
        <f>1/21</f>
        <v>4.7619047619047616E-2</v>
      </c>
      <c r="N108" s="24" t="s">
        <v>36</v>
      </c>
      <c r="O108" s="22">
        <v>0</v>
      </c>
    </row>
    <row r="110" spans="2:15" ht="15.75" x14ac:dyDescent="0.25">
      <c r="B110" s="10" t="s">
        <v>32</v>
      </c>
      <c r="C110" s="2" t="s">
        <v>8</v>
      </c>
      <c r="D110" s="2">
        <v>253</v>
      </c>
      <c r="E110" s="14" t="s">
        <v>119</v>
      </c>
      <c r="F110" s="3">
        <v>1</v>
      </c>
      <c r="G110" s="6">
        <f>108/171</f>
        <v>0.63157894736842102</v>
      </c>
      <c r="H110" s="2">
        <v>19</v>
      </c>
      <c r="I110" s="7">
        <f>19/171</f>
        <v>0.1111111111111111</v>
      </c>
      <c r="J110" s="2">
        <v>89</v>
      </c>
      <c r="K110" s="34">
        <f>89/171</f>
        <v>0.52046783625730997</v>
      </c>
      <c r="L110" s="31">
        <v>7</v>
      </c>
      <c r="M110" s="7">
        <f>7/189</f>
        <v>3.7037037037037035E-2</v>
      </c>
      <c r="N110" s="2">
        <v>0</v>
      </c>
      <c r="O110" s="34">
        <v>0</v>
      </c>
    </row>
    <row r="111" spans="2:15" ht="15.75" x14ac:dyDescent="0.25">
      <c r="B111" s="8" t="s">
        <v>4</v>
      </c>
      <c r="C111" s="9"/>
      <c r="D111" s="21">
        <v>253</v>
      </c>
      <c r="E111" s="14" t="s">
        <v>119</v>
      </c>
      <c r="F111" s="22">
        <v>1</v>
      </c>
      <c r="G111" s="6">
        <f>108/171</f>
        <v>0.63157894736842102</v>
      </c>
      <c r="H111" s="24" t="s">
        <v>120</v>
      </c>
      <c r="I111" s="7">
        <f>19/171</f>
        <v>0.1111111111111111</v>
      </c>
      <c r="J111" s="21">
        <v>89</v>
      </c>
      <c r="K111" s="34">
        <f>89/171</f>
        <v>0.52046783625730997</v>
      </c>
      <c r="L111" s="32">
        <v>7</v>
      </c>
      <c r="M111" s="7">
        <f>7/189</f>
        <v>3.7037037037037035E-2</v>
      </c>
      <c r="N111" s="24" t="s">
        <v>36</v>
      </c>
      <c r="O111" s="22">
        <v>0</v>
      </c>
    </row>
    <row r="112" spans="2:15" ht="15.75" x14ac:dyDescent="0.25">
      <c r="B112" s="52"/>
      <c r="C112" s="53"/>
      <c r="D112" s="54"/>
      <c r="E112" s="55"/>
      <c r="F112" s="56"/>
      <c r="G112" s="57"/>
      <c r="H112" s="58"/>
      <c r="I112" s="57"/>
      <c r="J112" s="54"/>
      <c r="K112" s="59"/>
      <c r="L112" s="60"/>
      <c r="M112" s="59"/>
      <c r="N112" s="58"/>
      <c r="O112" s="57"/>
    </row>
    <row r="113" spans="2:15" ht="15.75" x14ac:dyDescent="0.25">
      <c r="B113" s="65" t="s">
        <v>118</v>
      </c>
      <c r="C113" s="2" t="s">
        <v>8</v>
      </c>
      <c r="D113" s="21">
        <v>61</v>
      </c>
      <c r="E113" s="43" t="s">
        <v>121</v>
      </c>
      <c r="F113" s="22">
        <f>46/48</f>
        <v>0.95833333333333337</v>
      </c>
      <c r="G113" s="23">
        <f>25/40</f>
        <v>0.625</v>
      </c>
      <c r="H113" s="24" t="s">
        <v>39</v>
      </c>
      <c r="I113" s="23">
        <f>8/40</f>
        <v>0.2</v>
      </c>
      <c r="J113" s="21">
        <v>17</v>
      </c>
      <c r="K113" s="25">
        <f>17/40</f>
        <v>0.42499999999999999</v>
      </c>
      <c r="L113" s="32">
        <v>6</v>
      </c>
      <c r="M113" s="25">
        <f>6/48</f>
        <v>0.125</v>
      </c>
      <c r="N113" s="24" t="s">
        <v>40</v>
      </c>
      <c r="O113" s="23">
        <f>2/48</f>
        <v>4.1666666666666664E-2</v>
      </c>
    </row>
    <row r="114" spans="2:15" ht="15.75" x14ac:dyDescent="0.25">
      <c r="B114" s="66"/>
      <c r="C114" s="2" t="s">
        <v>9</v>
      </c>
      <c r="D114" s="21">
        <v>56</v>
      </c>
      <c r="E114" s="43" t="s">
        <v>122</v>
      </c>
      <c r="F114" s="22">
        <f>52/54</f>
        <v>0.96296296296296291</v>
      </c>
      <c r="G114" s="23">
        <f>15/38</f>
        <v>0.39473684210526316</v>
      </c>
      <c r="H114" s="24" t="s">
        <v>38</v>
      </c>
      <c r="I114" s="23">
        <f>1/38</f>
        <v>2.6315789473684209E-2</v>
      </c>
      <c r="J114" s="21">
        <v>14</v>
      </c>
      <c r="K114" s="25">
        <f>14/38</f>
        <v>0.36842105263157893</v>
      </c>
      <c r="L114" s="32">
        <v>2</v>
      </c>
      <c r="M114" s="25">
        <f>2/54</f>
        <v>3.7037037037037035E-2</v>
      </c>
      <c r="N114" s="24" t="s">
        <v>40</v>
      </c>
      <c r="O114" s="23">
        <f>2/54</f>
        <v>3.7037037037037035E-2</v>
      </c>
    </row>
    <row r="115" spans="2:15" ht="15.75" x14ac:dyDescent="0.25">
      <c r="B115" s="68"/>
      <c r="C115" s="43" t="s">
        <v>11</v>
      </c>
      <c r="D115" s="21">
        <v>3</v>
      </c>
      <c r="E115" s="43">
        <v>3</v>
      </c>
      <c r="F115" s="22">
        <v>1</v>
      </c>
      <c r="G115" s="23">
        <f>3/3</f>
        <v>1</v>
      </c>
      <c r="H115" s="24" t="s">
        <v>38</v>
      </c>
      <c r="I115" s="23">
        <f>1/3</f>
        <v>0.33333333333333331</v>
      </c>
      <c r="J115" s="21">
        <v>2</v>
      </c>
      <c r="K115" s="25">
        <f>2/3</f>
        <v>0.66666666666666663</v>
      </c>
      <c r="L115" s="32">
        <v>0</v>
      </c>
      <c r="M115" s="62">
        <v>0</v>
      </c>
      <c r="N115" s="24" t="s">
        <v>36</v>
      </c>
      <c r="O115" s="22">
        <v>0</v>
      </c>
    </row>
    <row r="116" spans="2:15" ht="15.75" x14ac:dyDescent="0.25">
      <c r="B116" s="61" t="s">
        <v>4</v>
      </c>
      <c r="C116" s="9"/>
      <c r="D116" s="21">
        <f>SUM(D113:D115)</f>
        <v>120</v>
      </c>
      <c r="E116" s="14" t="s">
        <v>123</v>
      </c>
      <c r="F116" s="22">
        <f>101/105</f>
        <v>0.96190476190476193</v>
      </c>
      <c r="G116" s="23">
        <f>43/81</f>
        <v>0.53086419753086422</v>
      </c>
      <c r="H116" s="24" t="s">
        <v>89</v>
      </c>
      <c r="I116" s="23">
        <f>10/81</f>
        <v>0.12345679012345678</v>
      </c>
      <c r="J116" s="21">
        <f>SUM(J113:J115)</f>
        <v>33</v>
      </c>
      <c r="K116" s="25">
        <f>33/81</f>
        <v>0.40740740740740738</v>
      </c>
      <c r="L116" s="32">
        <f>SUM(L113:L115)</f>
        <v>8</v>
      </c>
      <c r="M116" s="25">
        <f>8/105</f>
        <v>7.6190476190476197E-2</v>
      </c>
      <c r="N116" s="24" t="s">
        <v>44</v>
      </c>
      <c r="O116" s="23">
        <f>4/105</f>
        <v>3.8095238095238099E-2</v>
      </c>
    </row>
    <row r="118" spans="2:15" ht="15.75" x14ac:dyDescent="0.25">
      <c r="B118" s="65" t="s">
        <v>33</v>
      </c>
      <c r="C118" s="2" t="s">
        <v>8</v>
      </c>
      <c r="D118" s="11">
        <v>912</v>
      </c>
      <c r="E118" s="12" t="s">
        <v>127</v>
      </c>
      <c r="F118" s="15">
        <f>675/685</f>
        <v>0.98540145985401462</v>
      </c>
      <c r="G118" s="15">
        <f>362/563</f>
        <v>0.6429840142095915</v>
      </c>
      <c r="H118" s="11">
        <v>58</v>
      </c>
      <c r="I118" s="16">
        <f>58/563</f>
        <v>0.10301953818827708</v>
      </c>
      <c r="J118" s="11">
        <v>304</v>
      </c>
      <c r="K118" s="16">
        <f>304/563</f>
        <v>0.53996447602131437</v>
      </c>
      <c r="L118" s="39">
        <v>53</v>
      </c>
      <c r="M118" s="16">
        <f>53/685</f>
        <v>7.7372262773722625E-2</v>
      </c>
      <c r="N118" s="11">
        <v>10</v>
      </c>
      <c r="O118" s="16">
        <f>10/685</f>
        <v>1.4598540145985401E-2</v>
      </c>
    </row>
    <row r="119" spans="2:15" ht="15.75" x14ac:dyDescent="0.25">
      <c r="B119" s="66"/>
      <c r="C119" s="2" t="s">
        <v>9</v>
      </c>
      <c r="D119" s="11">
        <v>1065</v>
      </c>
      <c r="E119" s="12" t="s">
        <v>128</v>
      </c>
      <c r="F119" s="15">
        <f>1045/1076</f>
        <v>0.97118959107806691</v>
      </c>
      <c r="G119" s="15">
        <f>392/938</f>
        <v>0.41791044776119401</v>
      </c>
      <c r="H119" s="11">
        <v>57</v>
      </c>
      <c r="I119" s="16">
        <f>57/938</f>
        <v>6.0767590618336885E-2</v>
      </c>
      <c r="J119" s="11">
        <v>335</v>
      </c>
      <c r="K119" s="16">
        <f>335/938</f>
        <v>0.35714285714285715</v>
      </c>
      <c r="L119" s="39">
        <v>84</v>
      </c>
      <c r="M119" s="16">
        <f>84/1076</f>
        <v>7.8066914498141265E-2</v>
      </c>
      <c r="N119" s="11">
        <v>31</v>
      </c>
      <c r="O119" s="16">
        <f>31/1076</f>
        <v>2.8810408921933085E-2</v>
      </c>
    </row>
    <row r="120" spans="2:15" ht="21.75" customHeight="1" x14ac:dyDescent="0.25">
      <c r="B120" s="66"/>
      <c r="C120" s="2" t="s">
        <v>11</v>
      </c>
      <c r="D120" s="11">
        <v>180</v>
      </c>
      <c r="E120" s="12">
        <v>183</v>
      </c>
      <c r="F120" s="15">
        <f>178/183</f>
        <v>0.97267759562841527</v>
      </c>
      <c r="G120" s="15">
        <f>91/183</f>
        <v>0.49726775956284153</v>
      </c>
      <c r="H120" s="11">
        <v>23</v>
      </c>
      <c r="I120" s="16">
        <f>23/183</f>
        <v>0.12568306010928962</v>
      </c>
      <c r="J120" s="11">
        <v>68</v>
      </c>
      <c r="K120" s="16">
        <f>68/183</f>
        <v>0.37158469945355194</v>
      </c>
      <c r="L120" s="39">
        <v>14</v>
      </c>
      <c r="M120" s="16">
        <f>14/183</f>
        <v>7.650273224043716E-2</v>
      </c>
      <c r="N120" s="11">
        <v>5</v>
      </c>
      <c r="O120" s="16">
        <f>5/183</f>
        <v>2.7322404371584699E-2</v>
      </c>
    </row>
    <row r="121" spans="2:15" x14ac:dyDescent="0.25">
      <c r="B121" s="8" t="s">
        <v>4</v>
      </c>
      <c r="C121" s="14"/>
      <c r="D121" s="11">
        <f>SUM(D118:D120)</f>
        <v>2157</v>
      </c>
      <c r="E121" s="38" t="s">
        <v>129</v>
      </c>
      <c r="F121" s="17">
        <f>1898/1944</f>
        <v>0.97633744855967075</v>
      </c>
      <c r="G121" s="17">
        <f>845/1684</f>
        <v>0.50178147268408546</v>
      </c>
      <c r="H121" s="18">
        <f>SUM(H118:H120)</f>
        <v>138</v>
      </c>
      <c r="I121" s="17">
        <f>138/1684</f>
        <v>8.1947743467933487E-2</v>
      </c>
      <c r="J121" s="19">
        <f>SUM(J118:J120)</f>
        <v>707</v>
      </c>
      <c r="K121" s="20">
        <f>707/1684</f>
        <v>0.41983372921615203</v>
      </c>
      <c r="L121" s="40">
        <f>SUM(L118:L120)</f>
        <v>151</v>
      </c>
      <c r="M121" s="20">
        <f>151/1944</f>
        <v>7.7674897119341557E-2</v>
      </c>
      <c r="N121" s="18">
        <f>SUM(N118:N120)</f>
        <v>46</v>
      </c>
      <c r="O121" s="17">
        <f>46/1944</f>
        <v>2.3662551440329218E-2</v>
      </c>
    </row>
  </sheetData>
  <mergeCells count="52">
    <mergeCell ref="B49:O49"/>
    <mergeCell ref="B59:O59"/>
    <mergeCell ref="B79:O79"/>
    <mergeCell ref="B97:O97"/>
    <mergeCell ref="B75:B77"/>
    <mergeCell ref="B80:B82"/>
    <mergeCell ref="B50:B52"/>
    <mergeCell ref="B55:B57"/>
    <mergeCell ref="B60:B62"/>
    <mergeCell ref="B65:B67"/>
    <mergeCell ref="B70:B72"/>
    <mergeCell ref="B1:O1"/>
    <mergeCell ref="F3:F5"/>
    <mergeCell ref="G3:G5"/>
    <mergeCell ref="E3:E5"/>
    <mergeCell ref="B3:B5"/>
    <mergeCell ref="C3:C5"/>
    <mergeCell ref="H3:I3"/>
    <mergeCell ref="J3:K3"/>
    <mergeCell ref="D3:D5"/>
    <mergeCell ref="H4:H5"/>
    <mergeCell ref="I4:I5"/>
    <mergeCell ref="N3:O3"/>
    <mergeCell ref="N4:N5"/>
    <mergeCell ref="J4:J5"/>
    <mergeCell ref="K4:K5"/>
    <mergeCell ref="O4:O5"/>
    <mergeCell ref="B31:B33"/>
    <mergeCell ref="B36:B37"/>
    <mergeCell ref="B40:B42"/>
    <mergeCell ref="B45:B47"/>
    <mergeCell ref="L3:M3"/>
    <mergeCell ref="B26:B28"/>
    <mergeCell ref="B30:O30"/>
    <mergeCell ref="B35:O35"/>
    <mergeCell ref="B44:O44"/>
    <mergeCell ref="B11:B13"/>
    <mergeCell ref="B16:B18"/>
    <mergeCell ref="B21:B23"/>
    <mergeCell ref="B10:O10"/>
    <mergeCell ref="B6:B8"/>
    <mergeCell ref="B15:O15"/>
    <mergeCell ref="B20:O20"/>
    <mergeCell ref="B106:B107"/>
    <mergeCell ref="B118:B120"/>
    <mergeCell ref="B85:B87"/>
    <mergeCell ref="B90:B91"/>
    <mergeCell ref="B94:B95"/>
    <mergeCell ref="B98:B99"/>
    <mergeCell ref="B102:B103"/>
    <mergeCell ref="B101:O101"/>
    <mergeCell ref="B113:B115"/>
  </mergeCells>
  <pageMargins left="0.28000000000000003" right="0.17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Сунцова А.А.</cp:lastModifiedBy>
  <cp:lastPrinted>2020-07-03T06:16:28Z</cp:lastPrinted>
  <dcterms:created xsi:type="dcterms:W3CDTF">2011-06-28T05:05:42Z</dcterms:created>
  <dcterms:modified xsi:type="dcterms:W3CDTF">2021-06-25T05:28:11Z</dcterms:modified>
</cp:coreProperties>
</file>